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585" tabRatio="996" activeTab="8"/>
  </bookViews>
  <sheets>
    <sheet name="1. АМП" sheetId="1" r:id="rId1"/>
    <sheet name="1.1. ПРОФ.МЕРОПРИЯТИЯ (КП)" sheetId="2" r:id="rId2"/>
    <sheet name="1.2. Диспансерное наблюдение" sheetId="3" r:id="rId3"/>
    <sheet name="1.3. ИССЛЕДОВАНИЯ" sheetId="4" r:id="rId4"/>
    <sheet name="2. КС" sheetId="5" r:id="rId5"/>
    <sheet name="3. ДС" sheetId="6" r:id="rId6"/>
    <sheet name="4. СМП" sheetId="7" r:id="rId7"/>
    <sheet name="5. УСЛУГИ ДИАЛИЗА" sheetId="8" r:id="rId8"/>
    <sheet name="6. Объем фин.обеспечения" sheetId="9" r:id="rId9"/>
    <sheet name="10. объём доп. фед. средств" sheetId="10" state="hidden" r:id="rId10"/>
  </sheets>
  <externalReferences>
    <externalReference r:id="rId13"/>
  </externalReferences>
  <definedNames>
    <definedName name="_xlnm._FilterDatabase" localSheetId="0" hidden="1">'1. АМП'!$A$12:$AD$345</definedName>
    <definedName name="_xlnm._FilterDatabase" localSheetId="5" hidden="1">'3. ДС'!$A$8:$Q$156</definedName>
    <definedName name="_xlnm.Print_Titles" localSheetId="0">'1. АМП'!$9:$11</definedName>
    <definedName name="_xlnm.Print_Titles" localSheetId="3">'1.3. ИССЛЕДОВАНИЯ'!$6:$7</definedName>
    <definedName name="_xlnm.Print_Titles" localSheetId="4">'2. КС'!$6:$6</definedName>
    <definedName name="_xlnm.Print_Titles" localSheetId="5">'3. ДС'!$7:$8</definedName>
    <definedName name="_xlnm.Print_Area" localSheetId="0">'1. АМП'!$A$1:$J$569</definedName>
    <definedName name="_xlnm.Print_Area" localSheetId="1">'1.1. ПРОФ.МЕРОПРИЯТИЯ (КП)'!$A$1:$J$22</definedName>
    <definedName name="_xlnm.Print_Area" localSheetId="2">'1.2. Диспансерное наблюдение'!$A$1:$P$78</definedName>
    <definedName name="_xlnm.Print_Area" localSheetId="3">'1.3. ИССЛЕДОВАНИЯ'!$A$1:$K$80</definedName>
    <definedName name="_xlnm.Print_Area" localSheetId="4">'2. КС'!$A$1:$D$204</definedName>
    <definedName name="_xlnm.Print_Area" localSheetId="5">'3. ДС'!$A$1:$F$148</definedName>
    <definedName name="_xlnm.Print_Area" localSheetId="6">'4. СМП'!$A$1:$C$13</definedName>
    <definedName name="_xlnm.Print_Area" localSheetId="7">'5. УСЛУГИ ДИАЛИЗА'!$A$1:$R$30</definedName>
    <definedName name="_xlnm.Print_Area" localSheetId="8">'6. Объем фин.обеспечения'!$A$1:$E$29</definedName>
  </definedNames>
  <calcPr fullCalcOnLoad="1"/>
</workbook>
</file>

<file path=xl/comments1.xml><?xml version="1.0" encoding="utf-8"?>
<comments xmlns="http://schemas.openxmlformats.org/spreadsheetml/2006/main">
  <authors>
    <author>kazanceva</author>
  </authors>
  <commentList>
    <comment ref="O336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C319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репродуктивное здоровье
</t>
        </r>
      </text>
    </comment>
    <comment ref="B529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255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285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290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133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135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38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<sst xmlns="http://schemas.openxmlformats.org/spreadsheetml/2006/main" count="1166" uniqueCount="598">
  <si>
    <t>Терапия</t>
  </si>
  <si>
    <t>Урология</t>
  </si>
  <si>
    <t>Офтальмология</t>
  </si>
  <si>
    <t>Неврология</t>
  </si>
  <si>
    <t>НАИМЕНОВАНИЕ СПЕЦИАЛЬНОСТИ</t>
  </si>
  <si>
    <t>Онкология</t>
  </si>
  <si>
    <t>ИТОГО:</t>
  </si>
  <si>
    <t>Нефрология</t>
  </si>
  <si>
    <t>Гастроэнтерология</t>
  </si>
  <si>
    <t>Пульмонология</t>
  </si>
  <si>
    <t>Гематология</t>
  </si>
  <si>
    <t>Нейрохирургия</t>
  </si>
  <si>
    <t>Дерматология</t>
  </si>
  <si>
    <t>ВСЕГО АМБУЛАТОРНО-ПОЛИКЛИНИЧЕСКАЯ ПОМОЩЬ</t>
  </si>
  <si>
    <t>Гастроэнтерологические</t>
  </si>
  <si>
    <t>Гематологические</t>
  </si>
  <si>
    <t>Кардиологические</t>
  </si>
  <si>
    <t>Нефрологические</t>
  </si>
  <si>
    <t>Офтальмологические</t>
  </si>
  <si>
    <t>Пульмонологические</t>
  </si>
  <si>
    <t>Терапевтические</t>
  </si>
  <si>
    <t>Эндокринологические</t>
  </si>
  <si>
    <t>Инфекционные взрослые</t>
  </si>
  <si>
    <t>Педиатрические</t>
  </si>
  <si>
    <t>Инфекционные детские</t>
  </si>
  <si>
    <t xml:space="preserve">Неврологические </t>
  </si>
  <si>
    <t>Сосудистой хирургии</t>
  </si>
  <si>
    <t>Инфекционные</t>
  </si>
  <si>
    <t xml:space="preserve">Хирургические </t>
  </si>
  <si>
    <t>Неврологические</t>
  </si>
  <si>
    <t>ВСЕГО:</t>
  </si>
  <si>
    <t>Хирургия</t>
  </si>
  <si>
    <t>Детская хирургия</t>
  </si>
  <si>
    <t>Стоматология</t>
  </si>
  <si>
    <t>ФАП</t>
  </si>
  <si>
    <t>Нейрохирургические</t>
  </si>
  <si>
    <t>Акушерство-гинекология</t>
  </si>
  <si>
    <t>Челюстно-лицевой хирургии</t>
  </si>
  <si>
    <t>Ревматология</t>
  </si>
  <si>
    <t>ГБУЗ "Магаданская областная больница"</t>
  </si>
  <si>
    <t>Стоматолог взрослый</t>
  </si>
  <si>
    <t>Стоматолог детский</t>
  </si>
  <si>
    <t>посещения по неотложной помощи</t>
  </si>
  <si>
    <t>обращения по заболеваниям</t>
  </si>
  <si>
    <t>Врач общей практики</t>
  </si>
  <si>
    <t>ВСЕГО скорая медицинская помощь</t>
  </si>
  <si>
    <t>Урологические</t>
  </si>
  <si>
    <t>Дерматологические</t>
  </si>
  <si>
    <t>Колопроктологические</t>
  </si>
  <si>
    <t>Ревматологические</t>
  </si>
  <si>
    <t>Дерматологические (для детей)</t>
  </si>
  <si>
    <t>из них для производства абортов</t>
  </si>
  <si>
    <t>ГБУЗ "Магаданская областная детская больница"</t>
  </si>
  <si>
    <t>Акушерство-гинекология (ЭКО)</t>
  </si>
  <si>
    <t xml:space="preserve"> </t>
  </si>
  <si>
    <t>ИТОГО</t>
  </si>
  <si>
    <t>ВСЕГО ГБУЗ "МОБ"</t>
  </si>
  <si>
    <t>Акушерское дело</t>
  </si>
  <si>
    <t>Колопроктология</t>
  </si>
  <si>
    <t>ВСЕГО</t>
  </si>
  <si>
    <t>Кардиология</t>
  </si>
  <si>
    <t>Неонатология</t>
  </si>
  <si>
    <t>Травматология и ортопедия</t>
  </si>
  <si>
    <t>Хирургия (комбустиология)</t>
  </si>
  <si>
    <t>Акушерство и гинекология</t>
  </si>
  <si>
    <t>Медицинская реабилитация</t>
  </si>
  <si>
    <t>Гериатрия</t>
  </si>
  <si>
    <t>Детская кардиология</t>
  </si>
  <si>
    <t>№ п/п</t>
  </si>
  <si>
    <t>Аллергология-иммунология</t>
  </si>
  <si>
    <t>Отоларингология</t>
  </si>
  <si>
    <t>Онкологические (хирургические)</t>
  </si>
  <si>
    <t>Онкологические (химиотерапевтические)</t>
  </si>
  <si>
    <t>Акушерское дело (сестренский уход)</t>
  </si>
  <si>
    <t>Геронтологические</t>
  </si>
  <si>
    <t>Наименование профиля коек</t>
  </si>
  <si>
    <t>Травматология и ортопедия (Ортопедические)</t>
  </si>
  <si>
    <t>1.1</t>
  </si>
  <si>
    <t>без контрастирование</t>
  </si>
  <si>
    <t>1.2</t>
  </si>
  <si>
    <t xml:space="preserve"> с внутривенным контрастированием</t>
  </si>
  <si>
    <t>1.3</t>
  </si>
  <si>
    <t>иные</t>
  </si>
  <si>
    <t>2.1</t>
  </si>
  <si>
    <t>2.2</t>
  </si>
  <si>
    <t>2.3</t>
  </si>
  <si>
    <t>3.1</t>
  </si>
  <si>
    <t>3.2</t>
  </si>
  <si>
    <t>3.3</t>
  </si>
  <si>
    <t>3.4</t>
  </si>
  <si>
    <t>5.1</t>
  </si>
  <si>
    <t>5.2</t>
  </si>
  <si>
    <t>5.3</t>
  </si>
  <si>
    <t>5.4</t>
  </si>
  <si>
    <t>5.5</t>
  </si>
  <si>
    <t>5.6</t>
  </si>
  <si>
    <t>Наименвание исследования</t>
  </si>
  <si>
    <t>ВСЕГО посещений</t>
  </si>
  <si>
    <t>Акушерство-гинекология (патология шейки  матки)</t>
  </si>
  <si>
    <t>ПРИЛОЖЕНИЕ</t>
  </si>
  <si>
    <t xml:space="preserve">к Решению комиссии по разработке </t>
  </si>
  <si>
    <t>4. СКОРАЯ МЕДИЦИНСКАЯ ПОМОЩЬ</t>
  </si>
  <si>
    <t>НАИМЕНОВАНИЕ МЕДИЦИНСКОЙ ОРГАНИЗАЦИИ</t>
  </si>
  <si>
    <t>ООО "ЮНИЛАБ-ХАБАРОВСК"</t>
  </si>
  <si>
    <t xml:space="preserve">Бактериологическое исследование материала на флору и чуствительность к антибиотикам (отделяемое цервикального канала,ушей,глаз,зева и носа- одна локализация (хромогенные среды) </t>
  </si>
  <si>
    <t xml:space="preserve">А/т к циклическому цитрулиновому пептиду (А-ССР) </t>
  </si>
  <si>
    <t>Антитела к Sacchharomyces cerevisiae IgA (болезнь Крона)</t>
  </si>
  <si>
    <t>Антитела к Sacchharomyces cerevisiae IgG (болезнь Крона)</t>
  </si>
  <si>
    <t>Специфические антитела на дерматомиозит,полимиозит,миозит</t>
  </si>
  <si>
    <t>Антиядерные антитела (ANA)  (ИММУНОБЛОТ) К</t>
  </si>
  <si>
    <t>1 (NSE) Нейрон -специфическая енолаза (сыворотка)</t>
  </si>
  <si>
    <t>1 Хромогранин А К (отобранная сыворотка)</t>
  </si>
  <si>
    <t>8.1</t>
  </si>
  <si>
    <t>8.2</t>
  </si>
  <si>
    <t>УЗИ лифматических узлов</t>
  </si>
  <si>
    <t>УЗИ молочных желез (2-х )</t>
  </si>
  <si>
    <t>Услуги гемодиализа</t>
  </si>
  <si>
    <t>Гемодиализ</t>
  </si>
  <si>
    <t>Гемодиализ интермиттирующий низкопоточный</t>
  </si>
  <si>
    <t>Гемодиализ интермиттирующий высокопоточный</t>
  </si>
  <si>
    <t>Гемодиафильтрация</t>
  </si>
  <si>
    <t>Ультрафильтрация крови</t>
  </si>
  <si>
    <t>Гемодиализ интермиттирующий продленный</t>
  </si>
  <si>
    <t>Гемофильтрация крови</t>
  </si>
  <si>
    <t>Ультрафильтрация продленная</t>
  </si>
  <si>
    <t>Гемодиафильтрация продленная</t>
  </si>
  <si>
    <t>Гемодиализ продолжительный</t>
  </si>
  <si>
    <t>Гемофильтрация крови продолжительная</t>
  </si>
  <si>
    <t>Гемодиафильтрация продолжительная</t>
  </si>
  <si>
    <t>Услуги перитонеального диализа</t>
  </si>
  <si>
    <t>Перитонеальный диализ</t>
  </si>
  <si>
    <t>Перитонеальный диализ проточный</t>
  </si>
  <si>
    <t>Перитонеальный диализ с использованием автоматизированных технологий</t>
  </si>
  <si>
    <t>Перитонеальный диализ при нарушении ультрафильтрации</t>
  </si>
  <si>
    <t>6.  УСЛУГИ ДИАЛИЗА</t>
  </si>
  <si>
    <t xml:space="preserve"> - диспансеризация детей-сирот в стационарных учреждениях;</t>
  </si>
  <si>
    <t xml:space="preserve"> - диспансеризация детей-сирот, оставшихся без попечения родителей, в т.ч. усыновленных;</t>
  </si>
  <si>
    <t xml:space="preserve"> - профилактические осмотры несовершеннолетних</t>
  </si>
  <si>
    <t>допплерография сосудов</t>
  </si>
  <si>
    <t>дуплексное сканирование сосудов</t>
  </si>
  <si>
    <t>бронхоскопия</t>
  </si>
  <si>
    <t>эзофагогастродуоденоскопия</t>
  </si>
  <si>
    <t>интестиноскопия</t>
  </si>
  <si>
    <t>колоноскопия</t>
  </si>
  <si>
    <t>ректосигмоидоскопия</t>
  </si>
  <si>
    <t>видеокапсульные исследования</t>
  </si>
  <si>
    <t>эндосонография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</si>
  <si>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</si>
  <si>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</si>
  <si>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</si>
  <si>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</si>
  <si>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</si>
  <si>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</si>
  <si>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</si>
  <si>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4.8</t>
  </si>
  <si>
    <t>Эхокардиография</t>
  </si>
  <si>
    <t>8.3</t>
  </si>
  <si>
    <t xml:space="preserve">  - высокотехнологичная медицинская помощь</t>
  </si>
  <si>
    <t xml:space="preserve"> -  медицинская помощь по профилю "Онкология"</t>
  </si>
  <si>
    <t>№ группы ВМП</t>
  </si>
  <si>
    <t>Случаи госпитализации</t>
  </si>
  <si>
    <t>ВСЕГО по ГБУЗ "МОБ", из них:</t>
  </si>
  <si>
    <t>ВСЕГО ПО СТАЦИОНАРНОЙ МЕДИЦИНСКОЙ ПОМОЩИ, из них:</t>
  </si>
  <si>
    <t xml:space="preserve"> - медицинская реабилитация</t>
  </si>
  <si>
    <t>Лечение граждан застрахованных на территории Магаданской области в других субъектах Российской Федерации</t>
  </si>
  <si>
    <t xml:space="preserve">Стационар дневного пребывания </t>
  </si>
  <si>
    <t>Дневной стационар при поликлинике</t>
  </si>
  <si>
    <t>Дневной стационар на дому</t>
  </si>
  <si>
    <t>Случаев лечения</t>
  </si>
  <si>
    <t>ИТОГО ОБЪЕМ МЕДИЦИНСКОЙ ПОМОЩИ В УСЛОВИЯХ ДНЕВНОГО СТАЦИОНАРА</t>
  </si>
  <si>
    <t>Онкологические (Радиологические)</t>
  </si>
  <si>
    <t>ИТОГО МО вошедшие в реестр с других территорий, из них:</t>
  </si>
  <si>
    <t xml:space="preserve"> - ЭКО</t>
  </si>
  <si>
    <t>ВСЕГО ОБЪЕМ МЕДИЦИНСКОЙ ПОМОЩИ В УСЛОВИЯХ ДНЕВНОГО СТАЦИОНАРА, ИЗ НИХ:</t>
  </si>
  <si>
    <t>Лечение граждан застрахованных на территории Магаданской области в других субъектах Российской Федерации, из них:</t>
  </si>
  <si>
    <t>КОЛИЧЕСТВО ВЫЗОВОВ</t>
  </si>
  <si>
    <t>Патологоанатомического исследования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</si>
  <si>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9.1</t>
  </si>
  <si>
    <t>9.2</t>
  </si>
  <si>
    <t>8.4</t>
  </si>
  <si>
    <t>8.5</t>
  </si>
  <si>
    <t>8.6</t>
  </si>
  <si>
    <t>8.7</t>
  </si>
  <si>
    <t>8.8</t>
  </si>
  <si>
    <t>Тестирования на выявление новой коронавирусной инфекции (COVID-19)</t>
  </si>
  <si>
    <t>Амбулаторная медицинская помощь</t>
  </si>
  <si>
    <t>с профилактической и иной целью</t>
  </si>
  <si>
    <t>Лечение за пределами Магаданской области</t>
  </si>
  <si>
    <t>Клинико-диагностические исследования:</t>
  </si>
  <si>
    <t>Эндоскопического диагностического исследования:</t>
  </si>
  <si>
    <t>Компьютерная томография:</t>
  </si>
  <si>
    <t>Магнитно-резонансные томографии:</t>
  </si>
  <si>
    <t>Итого ЦАОП:</t>
  </si>
  <si>
    <t xml:space="preserve"> - профилактические медицинские осмотры взрослого населения</t>
  </si>
  <si>
    <t>ИТОГО лечение за пределами Магаданской области (МТР):</t>
  </si>
  <si>
    <t>Наименование медицинской организации</t>
  </si>
  <si>
    <t>в том числе:</t>
  </si>
  <si>
    <t>Диспансеризация определенных групп взрослого населения</t>
  </si>
  <si>
    <t>несовершеннолетних</t>
  </si>
  <si>
    <t>взрослого населения</t>
  </si>
  <si>
    <t>КС</t>
  </si>
  <si>
    <t>ДС</t>
  </si>
  <si>
    <t>АМП</t>
  </si>
  <si>
    <t xml:space="preserve"> - для взрослых</t>
  </si>
  <si>
    <t xml:space="preserve"> - для детей</t>
  </si>
  <si>
    <t xml:space="preserve"> - педиатрия</t>
  </si>
  <si>
    <t xml:space="preserve"> - терапия</t>
  </si>
  <si>
    <t>МОГБУЗ "Городская поликлиника"</t>
  </si>
  <si>
    <t>Диспансеризация детей сирот в стационарных учреждениях</t>
  </si>
  <si>
    <t>ГБУЗ «Магаданская областная больница»</t>
  </si>
  <si>
    <t>Акушерство и гинекология (койки для берменных и рожениц)</t>
  </si>
  <si>
    <t>Акушерство и гинекология (койки патологии беременности)</t>
  </si>
  <si>
    <t>Акушерство и гинекология (койки гинекологические)</t>
  </si>
  <si>
    <t>Детская урология-андрология</t>
  </si>
  <si>
    <t xml:space="preserve">Акушерство и гинекология </t>
  </si>
  <si>
    <t xml:space="preserve">Онкологические </t>
  </si>
  <si>
    <t>ИТОГО НА ТЕРРИТОРИИ ОБЛАСТИ</t>
  </si>
  <si>
    <t>Наименование организации</t>
  </si>
  <si>
    <t>МОГБУЗ "Станция скорой медицинской помощи"</t>
  </si>
  <si>
    <t>ООО "ВИТА"</t>
  </si>
  <si>
    <t>ООО "Вита-Дент"</t>
  </si>
  <si>
    <t>ООО "Дантист"</t>
  </si>
  <si>
    <t>ООО "Дантист-Плюс"</t>
  </si>
  <si>
    <t>ООО "Дантист XXI век"</t>
  </si>
  <si>
    <t>ООО "Стоматологический кабинет "Доверие"</t>
  </si>
  <si>
    <t>ООО "Мой доктор""</t>
  </si>
  <si>
    <t>ООО "ЮНИЛАБ - Хабаровск"</t>
  </si>
  <si>
    <t>Челюстно-лицевая хирургия</t>
  </si>
  <si>
    <t xml:space="preserve">1. ГБУЗ "Магаданская областная больница" </t>
  </si>
  <si>
    <t xml:space="preserve">1. ГБУЗ "МАГАДАНСКАЯ ОБЛАСТНАЯ БОЛЬНИЦА" </t>
  </si>
  <si>
    <t>5. ООО "ЭКО-ЦЕНТР"</t>
  </si>
  <si>
    <t>Диспансеризация, всего</t>
  </si>
  <si>
    <t>Профилактические осмотры, всего</t>
  </si>
  <si>
    <t>углубленная диспансеризация</t>
  </si>
  <si>
    <t>МОГБУЗ "Городская поликлиника "</t>
  </si>
  <si>
    <t>ГБУЗ "Магаданская областная больница", всего</t>
  </si>
  <si>
    <t>в том числе, в разрезе филиалов:</t>
  </si>
  <si>
    <t>Филиал "Ольская районная больница" ГБУЗ "МОБ"</t>
  </si>
  <si>
    <t>Филиал "Омсукчанская районная больница" ГБУЗ "МОБ"</t>
  </si>
  <si>
    <t>Филиал "Среднеканская районная больница" ГБУЗ "МОБ"</t>
  </si>
  <si>
    <t>Филиал "Сусуманская районная больница" ГБУЗ "МОБ"</t>
  </si>
  <si>
    <t>Филиал "Северо-Эвенская районная больница" ГБУЗ "МОБ"</t>
  </si>
  <si>
    <t>Филиал "Тенькинская районная больница" ГБУЗ "МОБ"</t>
  </si>
  <si>
    <t>Филиал "Хасынская районная больница" ГБУЗ "МОБ"</t>
  </si>
  <si>
    <t>Филиал "Ягоднинская районная больница" ГБУЗ "МОБ"</t>
  </si>
  <si>
    <t>Диспансеризация детей сирот, оставшихся без попечения родителей, в т.ч. усыновленных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</si>
  <si>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</si>
  <si>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</si>
  <si>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</si>
  <si>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</si>
  <si>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</si>
  <si>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</si>
  <si>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</si>
  <si>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</si>
  <si>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</si>
  <si>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</si>
  <si>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</si>
  <si>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</si>
  <si>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</si>
  <si>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</si>
  <si>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</si>
  <si>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</si>
  <si>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</si>
  <si>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</si>
  <si>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ООО "МИР"</t>
  </si>
  <si>
    <t>в т.ч. онкогематология</t>
  </si>
  <si>
    <t>Медицинская реабилитация (дети)</t>
  </si>
  <si>
    <t>Таблица 6</t>
  </si>
  <si>
    <t>Таблица 4</t>
  </si>
  <si>
    <t>Таблица 3</t>
  </si>
  <si>
    <t>Таблица 2</t>
  </si>
  <si>
    <t>Таблица 1</t>
  </si>
  <si>
    <t>2. МЕДИЦИНСКАЯ ПОМОЩЬ В УСЛОВИЯХ КРУГЛОСУТОЧНОГО СТАЦИОНАРА,  В ТОМ ЧИСЛЕ ВЫСОКОТЕХНОЛОГИЧНАЯ МЕДИЦИНСКАЯ ПОМОЩЬ</t>
  </si>
  <si>
    <t xml:space="preserve">1. АМБУЛАТОРНАЯ МЕДИЦИНСКАЯ ПОМОЩЬ </t>
  </si>
  <si>
    <t xml:space="preserve">3. МЕДИЦИНСКАЯ ПОМОЩЬ В УСЛОВИЯХ  ДНЕВНЫХ СТАЦИОНАРОВ </t>
  </si>
  <si>
    <r>
      <t xml:space="preserve">             </t>
    </r>
    <r>
      <rPr>
        <b/>
        <sz val="11"/>
        <color indexed="8"/>
        <rFont val="Times New Roman"/>
        <family val="1"/>
      </rPr>
      <t xml:space="preserve">ИНФОРМАЦИЯ           </t>
    </r>
  </si>
  <si>
    <t>Наименование МО</t>
  </si>
  <si>
    <t>тыс. рублей</t>
  </si>
  <si>
    <t>ВСЕГО ЗА СЧЁТ ФЕДЕРАЛЬНЫХ СРЕДСТВ:</t>
  </si>
  <si>
    <t xml:space="preserve"> о дополнительном финансовом обеспечении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территориальной программы обязательного медицинского страхования</t>
  </si>
  <si>
    <t>В РАМКАХ РЕАЛИЗАЦИИ РАСПОРЯЖЕНИЙ ПРАВИТЕЛЬСТВА РОССИЙСКОЙ ФЕДЕРАЦИИ:</t>
  </si>
  <si>
    <t>ВСЕГО МО НА ТЕРРИТОИИ МАГДАНСКОЙ ОБЛАСТИ, из них:</t>
  </si>
  <si>
    <t>из них, высокотехнологичная медицинская помощь:</t>
  </si>
  <si>
    <t>Радиологические</t>
  </si>
  <si>
    <t>Реконструктивно-пластические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техники, а также замещением мягкотканных и костных хрящевых дефектов синтетическими и биологическими материалами</t>
  </si>
  <si>
    <t>Реконструктивно-пластические операции на костях таза, верхних и нижних конечностях с использованием погружных или наружных фиксирующих устройств, синтетических и биологических остеозамещающих материалов, компьютерной навигации</t>
  </si>
  <si>
    <t>Эндопротезирование суставов конечностей при выраженных деформациях, дисплазии, анкилозах, неправильно сросшихся и несросшихся переломах области сустава, посттравматических вывихах и подвывихах, остеопорозе и системных заболеваниях, в том числе с использованием компьютерной навигации</t>
  </si>
  <si>
    <t>Травматология и ортопедия (Травматологические)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</si>
  <si>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</si>
  <si>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</si>
  <si>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</si>
  <si>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</si>
  <si>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</si>
  <si>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</si>
  <si>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</si>
  <si>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</si>
  <si>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</si>
  <si>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</si>
  <si>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</si>
  <si>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</si>
  <si>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</si>
  <si>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</si>
  <si>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ГБУЗ "МОДФиИЗ"</t>
  </si>
  <si>
    <t>ГАУ РС (Я) "ЯРОКБ"</t>
  </si>
  <si>
    <t>Исследование уровня тиреотропного гормона (ТТГ) в крови</t>
  </si>
  <si>
    <t>Исследование уровня свободного тироксина (СТ4) сыворотки крови</t>
  </si>
  <si>
    <t>Исследование уровня свободного трийодтиронина (СТ3) в крови</t>
  </si>
  <si>
    <t>Определение содержания антител к тиреопероксидазе в крови (anti-ТПО)</t>
  </si>
  <si>
    <t>Исследование уровня простатспецифического антигена общего в крови (ПСА общий)</t>
  </si>
  <si>
    <t>Исследование уровня антигена аденогенных раков CA 125 в крови</t>
  </si>
  <si>
    <t>Исследование уровня пролактина в крови</t>
  </si>
  <si>
    <t>Исследование уровня лютеинизирующего гормона в сыворотке крови (ЛГ)</t>
  </si>
  <si>
    <t xml:space="preserve">Исследование уровня фолликулостимулирующего гормона в сыворотке крови (ФСГ) </t>
  </si>
  <si>
    <t>Исследование уровня общего иммуноглобулина E в крови (IgE)</t>
  </si>
  <si>
    <t>Определение содержания антител к рецептору тиреотропного гормона (ТТГ) в крови</t>
  </si>
  <si>
    <t>Исследование уровня простатспецифического антигена свободного в крови (ПСА св.)</t>
  </si>
  <si>
    <t>Исследование уровня кальцитонина в крови</t>
  </si>
  <si>
    <t>Исследование уровня кортизола в крови</t>
  </si>
  <si>
    <t>10.1</t>
  </si>
  <si>
    <t>Рентгеноденситометрия</t>
  </si>
  <si>
    <t>ИТОГО медицинская помощь на территории страхования</t>
  </si>
  <si>
    <t>ВСЕГО ТПОМС:</t>
  </si>
  <si>
    <t>Медицинская помощь за пределами территории страхования (МТР)</t>
  </si>
  <si>
    <t>Код койки (v020)</t>
  </si>
  <si>
    <t>Оториноларингологические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</si>
  <si>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1 стента в сосуд (сосуды)</t>
  </si>
  <si>
    <t>Эндоваскулярная, хирургическая коррекция нарушений ритма сердца без имплантации кардиовертера-дефибриллятора у взрослых (имплантация частотно-адаптированного однокамерного кардиостимулятора)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</si>
  <si>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3 стентов (баллонная вазодилатация с установкой 3 стентов в сосуд (сосуды))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</si>
  <si>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2 стентов (баллонная вазодилатация с установкой 2 стентов в сосуд (сосуды))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</si>
  <si>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1 стента (ишемическая болезнь сердца со стенозированием 1 коронарной артерии)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</si>
  <si>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3 стентов в сосуд (сосуды)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</si>
  <si>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2 стентов в сосуд (сосуды)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</si>
  <si>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1 стента в сосуд (сосуды)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</si>
  <si>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3 стентов в сосуд (сосуды)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</si>
  <si>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2 стентов в сосуд (сосуды)</t>
  </si>
  <si>
    <t xml:space="preserve"> Пластика крупных суставов конечностей с восстановлением целостности внутрисуставных образований, замещением костно-хрящевых дефектов синтетическими и биологическими материалами</t>
  </si>
  <si>
    <t>5. Объём медицинской помощи, предусмотренный на лечение граждан застрахованных на территории Магаданской области в других субъектах Российской Федерации (МТР)</t>
  </si>
  <si>
    <t xml:space="preserve">6. ООО "Центр инновационной эмбриологии и репродуктологии "ЭМБРИЛАЙФ" </t>
  </si>
  <si>
    <t>Медицинская реабилитация (соматические)</t>
  </si>
  <si>
    <t>Медицинская реабилитация (Реабилитационные для больных с заболеваниями опорно-двигательного аппарата периферической нервной системы)</t>
  </si>
  <si>
    <t>Реабилитационные для больных с заболеваниями ЦНС и органов чувств</t>
  </si>
  <si>
    <t>Реабилитационные соматические</t>
  </si>
  <si>
    <t>Педиатрия, всего, из них:</t>
  </si>
  <si>
    <t>Терапия, всего, из них:</t>
  </si>
  <si>
    <t xml:space="preserve">             углубленная диспансеризация</t>
  </si>
  <si>
    <t xml:space="preserve"> - диспансеризация определенных групп взрослого населения, всего, из них: </t>
  </si>
  <si>
    <t>Специализация</t>
  </si>
  <si>
    <t>обособленное структурное подразделение "Онкологический дисп-р" ГБУЗ  "МОБ"</t>
  </si>
  <si>
    <t>филиал  "Ольская РБ" ГБУЗ "МОБ"</t>
  </si>
  <si>
    <t>филиал "Омсукчанская ГБУЗ "МОБ"</t>
  </si>
  <si>
    <t>филиал "Северо-Эвенская РБ" ГБУЗ "МОБ"</t>
  </si>
  <si>
    <t>филиал "Среднеканская РБ" ГБУЗ "МОБ"</t>
  </si>
  <si>
    <t>филиал "Сусуманская РБ" ГБУЗ "МОБ"</t>
  </si>
  <si>
    <t xml:space="preserve"> филиал "Тенькинская РБ" ГБУЗ "МОБ"</t>
  </si>
  <si>
    <t>филиал "Хасынская РБ" ГБУЗ "МОБ"</t>
  </si>
  <si>
    <t>филиал "Ягоднинская РБ" ГБУЗ "МОБ"</t>
  </si>
  <si>
    <t>Итого</t>
  </si>
  <si>
    <t xml:space="preserve">ГБУЗ "Магаданская областная больница" </t>
  </si>
  <si>
    <t>Таблица 10</t>
  </si>
  <si>
    <t>Таблица 1.1.</t>
  </si>
  <si>
    <t>Таблица 1.2.</t>
  </si>
  <si>
    <t>Таблица 1.3.</t>
  </si>
  <si>
    <t>1.3.  ОБЪЁМЫ НА САМОСТОЯТЕЛЬНЫЕ ДИАГНОСТИЧЕСКИЕ УСЛУГИ И ЛАБОРАТОРНЫЕ ИССЛЕДОВАНИЯ, ОКАЗЫВАЕМЫХ В АМБУЛАТОРНЫХ УСЛОВИЯХ В СВЯЗИ С ЗАБОЛЕВАНИЯМИ</t>
  </si>
  <si>
    <t>Таблица 5</t>
  </si>
  <si>
    <t>ИТОГО МОГБУЗ "Городская поликлиника", в т.ч.:</t>
  </si>
  <si>
    <t>центр дерматологии ГБУЗ  "МОБ"</t>
  </si>
  <si>
    <t>ООО "ВитаЛаб"</t>
  </si>
  <si>
    <t>5.7</t>
  </si>
  <si>
    <t>5.8</t>
  </si>
  <si>
    <t>5.9</t>
  </si>
  <si>
    <t>молекулярно-генетическое исследование мутаций в гене BRAF</t>
  </si>
  <si>
    <t>молекулярно-генетическое исследование мутаций в гене EGFR</t>
  </si>
  <si>
    <t>молекулярно-генетическое исследование мутаций в гене KRAS</t>
  </si>
  <si>
    <t>молекулярно-генетическое исследование мутаций в гене NRAS</t>
  </si>
  <si>
    <t>FISH HER2</t>
  </si>
  <si>
    <t>молекулярно-генетическое исследование мутаций в гене BRCA 1/BRCA 2</t>
  </si>
  <si>
    <t>выполненные с применением метода секвенирования нового поколения NGS BRCA 1/BRCA 2</t>
  </si>
  <si>
    <t>определение микросателлитной нестабильности MSI</t>
  </si>
  <si>
    <t>молекулярно-генетическое исследование гена ALK методом флюоресцентной гибридизации in situ (FISH)</t>
  </si>
  <si>
    <t>5.10</t>
  </si>
  <si>
    <t>5.11</t>
  </si>
  <si>
    <t>определение амплификации гена ERBB2 (HER2/Neu) методом флюоресцентной гибридизации in situ (FISH)</t>
  </si>
  <si>
    <t>Травматология-ортопедия</t>
  </si>
  <si>
    <t>Детская онкология</t>
  </si>
  <si>
    <t>Изменения на основании решений Комиссии по разработке ТПОМС</t>
  </si>
  <si>
    <t>Ультразвуковое исследование сердечно-сосудистой системы:</t>
  </si>
  <si>
    <t>Ультразвуковые исследования (прочие):</t>
  </si>
  <si>
    <t>Рентгенологические исследования:</t>
  </si>
  <si>
    <t>Молекулярно-генетическое исследование с целью выявления онкологических заболеваний:</t>
  </si>
  <si>
    <t>по факт. исполнению</t>
  </si>
  <si>
    <t xml:space="preserve">ООО "Центр инновационной эмбриологии и репродуктологии "ЭМБРИЛАЙФ" </t>
  </si>
  <si>
    <t>Эндоваскулярная, хирургическая коррекция нарушений ритма сердца без имплантации кардиовертера-дефибриллятора</t>
  </si>
  <si>
    <t>ООО "Виталаб"</t>
  </si>
  <si>
    <t>МОГБУЗ «ССМП», в том числе:</t>
  </si>
  <si>
    <t xml:space="preserve"> - с применением тромболизиса</t>
  </si>
  <si>
    <t xml:space="preserve">1. </t>
  </si>
  <si>
    <t>2.</t>
  </si>
  <si>
    <t>3.</t>
  </si>
  <si>
    <t>Акушер-гинеколог</t>
  </si>
  <si>
    <t>Аллерголог-иммунолог</t>
  </si>
  <si>
    <t>Гастроэнтеролог</t>
  </si>
  <si>
    <t>Гематолог</t>
  </si>
  <si>
    <t>Гериатр</t>
  </si>
  <si>
    <t>Дерматолог</t>
  </si>
  <si>
    <t>Инфекционист</t>
  </si>
  <si>
    <t>Кардиолог</t>
  </si>
  <si>
    <t>Колопроктолог</t>
  </si>
  <si>
    <t>Невролог</t>
  </si>
  <si>
    <t>Нейрохирург</t>
  </si>
  <si>
    <t>Нефролог</t>
  </si>
  <si>
    <t>Онколог</t>
  </si>
  <si>
    <t>Отоларинголог</t>
  </si>
  <si>
    <t>Офтальмолог</t>
  </si>
  <si>
    <t>Педиатр</t>
  </si>
  <si>
    <t>Пульмонолог</t>
  </si>
  <si>
    <t>Ревматолог</t>
  </si>
  <si>
    <t>Сосудистый хирург</t>
  </si>
  <si>
    <t>Терапевт-участковый</t>
  </si>
  <si>
    <t>Травматолог-ортопед</t>
  </si>
  <si>
    <t>Уролог</t>
  </si>
  <si>
    <t>Хирург</t>
  </si>
  <si>
    <t>Челюстно-лицевой хирург</t>
  </si>
  <si>
    <t>Эндокринолог</t>
  </si>
  <si>
    <t>Офтольмология</t>
  </si>
  <si>
    <t>Средний персонал</t>
  </si>
  <si>
    <t>ВСЕГО ПОСЕЩЕНИЙ:</t>
  </si>
  <si>
    <t>ТПГГ (норматив)</t>
  </si>
  <si>
    <t>позиций</t>
  </si>
  <si>
    <t>ТПОМС (общий норматив)</t>
  </si>
  <si>
    <t>ЛЕЧЕНИЕ ЗА ПРЕДЕЛАМИ</t>
  </si>
  <si>
    <t xml:space="preserve">НА ТЕРРИТОРИИ </t>
  </si>
  <si>
    <t>Диспансерное наблюдение (взрослые)</t>
  </si>
  <si>
    <t>посещений</t>
  </si>
  <si>
    <t xml:space="preserve">обращений </t>
  </si>
  <si>
    <t xml:space="preserve">ВСЕГО </t>
  </si>
  <si>
    <t>Инфекционные болезни</t>
  </si>
  <si>
    <t>посещений / комплексных посещений</t>
  </si>
  <si>
    <t>комплексных посещений</t>
  </si>
  <si>
    <t xml:space="preserve"> - Школа сахарного диабета (комплексные посещения)</t>
  </si>
  <si>
    <t>ДН</t>
  </si>
  <si>
    <t>лечение за пределами</t>
  </si>
  <si>
    <t>посещения в профмероприятиях/в мед реабилитации</t>
  </si>
  <si>
    <t>на территории без проф.мероприятий и реабилитации</t>
  </si>
  <si>
    <t>Средний медицинский персонал, ведущий самостоятельный прием</t>
  </si>
  <si>
    <t>ФЗП</t>
  </si>
  <si>
    <t>ГБУЗ "Магаданский областной центр охраны материнства  и детства"</t>
  </si>
  <si>
    <t>Средний медперсонал, ведущий самостоятельный прием (Лечебное дело)</t>
  </si>
  <si>
    <t>Средний медицинский персонал, ведущий самостоятельный приём (Акушерское дело)</t>
  </si>
  <si>
    <t>Офтальмология для обслуживания беременных женщин</t>
  </si>
  <si>
    <t>Терапия для обслуживания беременных женщин</t>
  </si>
  <si>
    <t>ГБУЗ "Магаданский областной центр охраны материнства и детства"</t>
  </si>
  <si>
    <t xml:space="preserve">ГБУЗ "Магаданский областной центр охраны материнства и детства " </t>
  </si>
  <si>
    <t>23</t>
  </si>
  <si>
    <t>5</t>
  </si>
  <si>
    <t>ГБУЗ "Магаданский областной диспансер фтизиатрии и инфекционных заболеваний"</t>
  </si>
  <si>
    <t>8.  Объём медицинской помощи, предусмотренный на лечение граждан застрахованных на территории Магаданской области в других субъектах Российской Федерации (МТР)</t>
  </si>
  <si>
    <t>Хирургия (абдоминальная)</t>
  </si>
  <si>
    <t>Определение РНК вируса гриппа A (Influenza virus A) в мазках со слизистой оболочки носоглотки методом ПЦР</t>
  </si>
  <si>
    <t>Определение РНК вируса гриппа B (Influenza virus B) в мазках со слизистой оболочки носоглотки методом ПЦР</t>
  </si>
  <si>
    <t>Определение РНК вируса гриппа C (Influenza virus C) в мазках со слизистой оболочки носоглотки методом ПЦР</t>
  </si>
  <si>
    <t>Определение РНК вируса гриппа A (Influenza virus A) в мазках со слизистой оболочки ротоглотки методом ПЦР</t>
  </si>
  <si>
    <t>Определение РНК вируса гриппа B (Influenza virus B) в мазках со слизистой оболочки ротоглотки методом ПЦР</t>
  </si>
  <si>
    <t>Определение РНК вируса гриппа C (Influenza virus C) в мазках со слизистой оболочки ротоглотки методом ПЦР</t>
  </si>
  <si>
    <t xml:space="preserve">Комплексная диагностика вирусов респираторных инфекций (ОРИ) </t>
  </si>
  <si>
    <t xml:space="preserve">Диагностика вирусов респираторных инфекций типирование гриппа А (Influenza virusA) </t>
  </si>
  <si>
    <t>Диагностика вирусов респираторных инфекций Определение РНК вируса гриппа A/H1N1 pdm09 (свиной грипп)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</si>
  <si>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</si>
  <si>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</si>
  <si>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</si>
  <si>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</si>
  <si>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</si>
  <si>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</si>
  <si>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</si>
  <si>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</si>
  <si>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</si>
  <si>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ООО "Эверест"</t>
  </si>
  <si>
    <t xml:space="preserve">СВОД </t>
  </si>
  <si>
    <t xml:space="preserve"> в том числе:</t>
  </si>
  <si>
    <t>Наименование услуги</t>
  </si>
  <si>
    <t>Инфекционные болезни (для лечения пациентов с гепатитом С)</t>
  </si>
  <si>
    <t xml:space="preserve"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2024 ГОДУ                                                                                          </t>
  </si>
  <si>
    <t>репродуктивное здоровье</t>
  </si>
  <si>
    <t>5.1.</t>
  </si>
  <si>
    <t>5.2.</t>
  </si>
  <si>
    <t xml:space="preserve">Информация о распределении объема финансового обеспечения медицинской помощи, оказываемой медицинскими организациями, осуществляющими деятельность в сфере обязательного медицинского страхования Магаданской области в 2024 году </t>
  </si>
  <si>
    <t>Объем финансового обеспечения на 2024 год с учётом изменений</t>
  </si>
  <si>
    <t xml:space="preserve">Объем финансового обеспечения на 2024 год  </t>
  </si>
  <si>
    <t>ВСЕГО,
 в том числе:</t>
  </si>
  <si>
    <t>Онкологические заболевания</t>
  </si>
  <si>
    <t>Сахарный диабет</t>
  </si>
  <si>
    <t>Болезни системы кровообращения</t>
  </si>
  <si>
    <t>Прочие заболевания</t>
  </si>
  <si>
    <t>Акушерство и гинекология, всего,
в том числе:</t>
  </si>
  <si>
    <t>-</t>
  </si>
  <si>
    <t>Дерматология, всего,
в том числе:</t>
  </si>
  <si>
    <t>Инфекционные заболевания, всего,
в том числе:</t>
  </si>
  <si>
    <t>Кардиология, всего,
в том числе:</t>
  </si>
  <si>
    <t>Неврология, всего,
в том числе:</t>
  </si>
  <si>
    <t>Онкология, всего,
в том числе:</t>
  </si>
  <si>
    <t>Оториноларингология, всего,
в том числе:</t>
  </si>
  <si>
    <t>Офтальмология, всего,
в том числе:</t>
  </si>
  <si>
    <t>Терапия, всего,
в том числе:</t>
  </si>
  <si>
    <t>Травматология и ортопедия, всего,
в том числе:</t>
  </si>
  <si>
    <t>Хирургия, всего,
в том числе:</t>
  </si>
  <si>
    <t>Эндокринология, всего,
в том числе: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</si>
  <si>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</si>
  <si>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</si>
  <si>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</si>
  <si>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</si>
  <si>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</si>
  <si>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</si>
  <si>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</si>
  <si>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</si>
  <si>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</si>
  <si>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</si>
  <si>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</si>
  <si>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Неврология, всего, из них:</t>
  </si>
  <si>
    <t>1.1. ОБЪЁМЫ ПО ПРОФИЛАКТИЧЕСКИМ МЕРОПРИЯТИЯМ (КОМПЛЕКСНЫЕ ПОСЕЩЕНИЯ)</t>
  </si>
  <si>
    <t>Акушерство и гинекология, всего, из них:</t>
  </si>
  <si>
    <t xml:space="preserve">             углубленная диспансеризация;</t>
  </si>
  <si>
    <t xml:space="preserve">             репродуктивное здоровье;</t>
  </si>
  <si>
    <t xml:space="preserve"> - профилактические медицинские осмотры взрослого населения;</t>
  </si>
  <si>
    <t xml:space="preserve"> - профилактические осмотры несовершеннолетних;</t>
  </si>
  <si>
    <t>Травматология и ортопедия, всего, из них:</t>
  </si>
  <si>
    <t>Урология, всего, из них:</t>
  </si>
  <si>
    <t>Отоларингология, всего, из них:</t>
  </si>
  <si>
    <t>Офтальмология, всего, из них:</t>
  </si>
  <si>
    <t>2. ГБУЗ "МАГАДАНСКИЙ ОБЛАСТНОЙ ЦЕНТР ОХРАНЫ МАТЕРИНСТВА И ДЕТСТВА"</t>
  </si>
  <si>
    <t xml:space="preserve">3. МОГБУЗ "ГОРОДСКАЯ ПОЛИКЛИНИКА" </t>
  </si>
  <si>
    <t>ВСЕГО ГБУЗ "МОБ", ВСЕГО, в том числе:</t>
  </si>
  <si>
    <t>Эндокринология, всего, из них:</t>
  </si>
  <si>
    <t>Акушерство-гинекология, всего, из них:</t>
  </si>
  <si>
    <t>Детская урология-андрология, всего, из них:</t>
  </si>
  <si>
    <t>Детская хирургия, всего, из них:</t>
  </si>
  <si>
    <t>Детская эндокринология, всего, из них:</t>
  </si>
  <si>
    <t xml:space="preserve"> - профилактические осмотры несовершеннолетних.</t>
  </si>
  <si>
    <t>Стоматология, всего, из них:</t>
  </si>
  <si>
    <t>ИТОГО ГБУЗ "МОЦОМиД", ВСЕГО, в том числе:</t>
  </si>
  <si>
    <t>медицинская реабилитация</t>
  </si>
  <si>
    <t>из них,                                                                                               1) профилактические мероприятия (посещения), в том числе:</t>
  </si>
  <si>
    <t xml:space="preserve">13.  </t>
  </si>
  <si>
    <t>4. ООО "ВИТА"</t>
  </si>
  <si>
    <t>5. ООО "ВИТА-ДЕНТ"</t>
  </si>
  <si>
    <t>6. ООО "ДАНТИСТ"</t>
  </si>
  <si>
    <t>7. ООО "ДАНТИСТ-ПЛЮС"</t>
  </si>
  <si>
    <t>8. ООО "ДАНТИСТ XXI ВЕК"</t>
  </si>
  <si>
    <t>9. ООО ""СТОМАТОЛОГИЧЕСКИЙ КАБИНЕТ "ДОВЕРИЕ"</t>
  </si>
  <si>
    <t>10. ООО "МОЙ ДОКТОР"</t>
  </si>
  <si>
    <t>11.  ООО "МИР"</t>
  </si>
  <si>
    <t>12.  ООО "ЭВЕРЕСТ"</t>
  </si>
  <si>
    <t>13. Объём медицинской помощи, предусмотренный на лечениеграждан застрахованных на территории Магаданской области в других субъектах Российской Федерации (МТР)</t>
  </si>
  <si>
    <t>с профилактической целью</t>
  </si>
  <si>
    <t>посещения с иной целью</t>
  </si>
  <si>
    <t>посещения с профилакти-ческой целью*</t>
  </si>
  <si>
    <t>Центр здоровья, всего, в том числе:</t>
  </si>
  <si>
    <t>Эндокринология, всего, в том числе:</t>
  </si>
  <si>
    <t>Стоматология, всего, в том числе:</t>
  </si>
  <si>
    <t>Средний медицинский персонал, ведущий самостоятельный приём (Акушерское дело), всего, из них:</t>
  </si>
  <si>
    <t>1.2. ДИСПАНСЕРНОЕ НАБЛЮДЕНИЕ (КОМПЛЕКСНЫЕ ПОСЕЩЕНИЯ)</t>
  </si>
  <si>
    <t>синой целью</t>
  </si>
  <si>
    <r>
      <t xml:space="preserve"> - диспансеризация определенных групп взрослого населения, всего, </t>
    </r>
    <r>
      <rPr>
        <i/>
        <u val="single"/>
        <sz val="11"/>
        <color indexed="12"/>
        <rFont val="Times New Roman"/>
        <family val="1"/>
      </rPr>
      <t>из них</t>
    </r>
    <r>
      <rPr>
        <i/>
        <sz val="11"/>
        <color indexed="12"/>
        <rFont val="Times New Roman"/>
        <family val="1"/>
      </rPr>
      <t xml:space="preserve">: </t>
    </r>
  </si>
  <si>
    <t xml:space="preserve">             репродуктивное здоровье.</t>
  </si>
  <si>
    <t>Итого эндокринологический центр:</t>
  </si>
  <si>
    <t>Эндокринология</t>
  </si>
  <si>
    <t xml:space="preserve">посещений </t>
  </si>
  <si>
    <t>Хирургия, всего, из них:</t>
  </si>
  <si>
    <r>
      <t xml:space="preserve">       1) профилактические мероприятия (</t>
    </r>
    <r>
      <rPr>
        <u val="single"/>
        <sz val="12"/>
        <color indexed="12"/>
        <rFont val="Times New Roman"/>
        <family val="1"/>
      </rPr>
      <t>посещения</t>
    </r>
    <r>
      <rPr>
        <sz val="12"/>
        <color indexed="12"/>
        <rFont val="Times New Roman"/>
        <family val="1"/>
      </rPr>
      <t>), всего, в том числе:</t>
    </r>
  </si>
  <si>
    <t xml:space="preserve">            репродуктивное здоровье</t>
  </si>
  <si>
    <t>7. АО "Международный центр репродуктивной медицины"</t>
  </si>
  <si>
    <t xml:space="preserve"> - для оказания помощи больным с вирусным гепатитом С</t>
  </si>
  <si>
    <t>КОНСУЛЬТАТИВНАЯ ПОЛИКЛИНИКА</t>
  </si>
  <si>
    <t>Хирургия  (общ)</t>
  </si>
  <si>
    <t>Итого Консультативная поликлиника:</t>
  </si>
  <si>
    <t>Итого АМП (подушевое финнасирование):</t>
  </si>
  <si>
    <t xml:space="preserve">      - Школа сахарного диабета (посещения/комплексные посещения)</t>
  </si>
  <si>
    <t>ЭНДОКРИНОЛОГИЧЕСКИЙ ЦЕНТР</t>
  </si>
  <si>
    <t>ЦЕНТР АМБУЛАТОРНОЙ ОНКОЛОГИЧЕСКОЙ ПОМОЩИ</t>
  </si>
  <si>
    <t>ЦЕНТР ДЕРМАТОВЕНЕРОЛОГИИ</t>
  </si>
  <si>
    <t xml:space="preserve">        2) Школа сахарного диабета (посещения/комплексные посещения)</t>
  </si>
  <si>
    <t>из них:</t>
  </si>
  <si>
    <t>2 этап диспансеризации</t>
  </si>
  <si>
    <t>2) Школа сахарного диабета (комплексные посещения)</t>
  </si>
  <si>
    <t>мобильные бригады</t>
  </si>
  <si>
    <t>Неврологические для больных с острыми нарушениями мозгового кровообращения</t>
  </si>
  <si>
    <t>2. ГБУЗ "Магаданский областной центр охраны материнства и детства"</t>
  </si>
  <si>
    <t>Эндокринологические для детей</t>
  </si>
  <si>
    <t>Кардиологические для детей</t>
  </si>
  <si>
    <t>Уроандрологические для детей</t>
  </si>
  <si>
    <t>Патологии новорожденных и недоношенных детей</t>
  </si>
  <si>
    <t>* посещения, включенные в комплексные посещения</t>
  </si>
  <si>
    <t>3. ГАУ РС (Я) "Якутская республиканская офтальмологическая клиническая больница"</t>
  </si>
  <si>
    <t xml:space="preserve">               4. ООО "ДАНТИСТ XXI ВЕК"</t>
  </si>
  <si>
    <t xml:space="preserve">3. МОГБУЗ "Городская поликлиника" </t>
  </si>
  <si>
    <t>4. ООО "ДАНТИСТ XXI ВЕК"</t>
  </si>
  <si>
    <t>8. ООО "ЭВЕРЕСТ"</t>
  </si>
  <si>
    <t>АО "Международный центр репродуктивной медицины"</t>
  </si>
  <si>
    <t>ООО "ЭКО центр"</t>
  </si>
  <si>
    <t>ТПОМС от 15.02.2024 года № 03-02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</si>
</sst>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* #,##0.0_);_(* \(#,##0.0\);_(* &quot;-&quot;??_);_(@_)"/>
    <numFmt numFmtId="197" formatCode="0.00000"/>
    <numFmt numFmtId="198" formatCode="0_ ;[Red]\-0\ "/>
    <numFmt numFmtId="199" formatCode="#,##0.000"/>
    <numFmt numFmtId="200" formatCode="#,##0.0000"/>
    <numFmt numFmtId="201" formatCode="#,##0_ ;[Red]\-#,##0\ "/>
    <numFmt numFmtId="202" formatCode="\M\o\n\t\h\ \D.\y\y\y\y"/>
    <numFmt numFmtId="203" formatCode="#,##0.0;[Red]\-#,##0.0;&quot;...&quot;"/>
    <numFmt numFmtId="204" formatCode="#,##0;[Red]\-#,##0;&quot;...&quot;"/>
    <numFmt numFmtId="205" formatCode="#,##0.00000"/>
    <numFmt numFmtId="206" formatCode="#,##0.000000"/>
    <numFmt numFmtId="207" formatCode="#,##0.0000000"/>
    <numFmt numFmtId="208" formatCode="0.0%"/>
    <numFmt numFmtId="209" formatCode="#,##0.00_ ;[Red]\-#,##0.00\ "/>
    <numFmt numFmtId="210" formatCode="0.0&quot;*&quot;"/>
    <numFmt numFmtId="211" formatCode="0.0&quot;**&quot;"/>
    <numFmt numFmtId="212" formatCode="0.0&quot;***&quot;"/>
    <numFmt numFmtId="213" formatCode="0.0&quot;*****&quot;"/>
    <numFmt numFmtId="214" formatCode="[$-FC19]d\ mmmm\ yyyy\ &quot;г.&quot;"/>
    <numFmt numFmtId="215" formatCode="0.00000000"/>
    <numFmt numFmtId="216" formatCode="0.0000000"/>
    <numFmt numFmtId="217" formatCode="0.000000"/>
    <numFmt numFmtId="218" formatCode="_(* #,##0_);_(* \(#,##0\);_(* &quot;-&quot;??_);_(@_)"/>
  </numFmts>
  <fonts count="15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color indexed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color indexed="60"/>
      <name val="Times New Roman"/>
      <family val="1"/>
    </font>
    <font>
      <b/>
      <i/>
      <sz val="12"/>
      <name val="Times New Roman"/>
      <family val="1"/>
    </font>
    <font>
      <sz val="10"/>
      <name val="Courier New Cyr"/>
      <family val="0"/>
    </font>
    <font>
      <sz val="8"/>
      <name val="Arial"/>
      <family val="2"/>
    </font>
    <font>
      <sz val="11"/>
      <color indexed="6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b/>
      <sz val="18"/>
      <color indexed="49"/>
      <name val="Cambria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Calibri"/>
      <family val="2"/>
    </font>
    <font>
      <sz val="10"/>
      <color indexed="8"/>
      <name val="Arial Cyr"/>
      <family val="2"/>
    </font>
    <font>
      <sz val="10"/>
      <color indexed="22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22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name val="Arial"/>
      <family val="2"/>
    </font>
    <font>
      <i/>
      <sz val="12"/>
      <color indexed="12"/>
      <name val="Arial"/>
      <family val="2"/>
    </font>
    <font>
      <i/>
      <sz val="12"/>
      <name val="Arial"/>
      <family val="2"/>
    </font>
    <font>
      <b/>
      <i/>
      <sz val="12"/>
      <color indexed="6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i/>
      <sz val="11"/>
      <name val="Arial"/>
      <family val="2"/>
    </font>
    <font>
      <i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1"/>
      <color indexed="12"/>
      <name val="Times New Roman"/>
      <family val="1"/>
    </font>
    <font>
      <sz val="12"/>
      <color indexed="12"/>
      <name val="Times New Roman"/>
      <family val="1"/>
    </font>
    <font>
      <i/>
      <u val="single"/>
      <sz val="11"/>
      <color indexed="12"/>
      <name val="Times New Roman"/>
      <family val="1"/>
    </font>
    <font>
      <u val="single"/>
      <sz val="12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60"/>
      <name val="Arial"/>
      <family val="2"/>
    </font>
    <font>
      <i/>
      <sz val="10"/>
      <color indexed="12"/>
      <name val="Times New Roman"/>
      <family val="1"/>
    </font>
    <font>
      <sz val="11"/>
      <color indexed="9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2"/>
      <color indexed="12"/>
      <name val="Arial"/>
      <family val="2"/>
    </font>
    <font>
      <sz val="12"/>
      <color indexed="6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1"/>
      <color indexed="17"/>
      <name val="Times New Roman"/>
      <family val="1"/>
    </font>
    <font>
      <i/>
      <sz val="12"/>
      <color indexed="12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12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6"/>
      <color indexed="60"/>
      <name val="Times New Roman"/>
      <family val="1"/>
    </font>
    <font>
      <b/>
      <i/>
      <sz val="10"/>
      <color indexed="8"/>
      <name val="Times New Roman"/>
      <family val="1"/>
    </font>
    <font>
      <b/>
      <sz val="13"/>
      <color indexed="12"/>
      <name val="Times New Roman"/>
      <family val="1"/>
    </font>
    <font>
      <b/>
      <sz val="9"/>
      <color indexed="8"/>
      <name val="Times New Roman"/>
      <family val="1"/>
    </font>
    <font>
      <i/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sz val="9"/>
      <color indexed="8"/>
      <name val="Calibri"/>
      <family val="2"/>
    </font>
    <font>
      <u val="single"/>
      <sz val="10"/>
      <color indexed="2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FF"/>
      <name val="Times New Roman"/>
      <family val="1"/>
    </font>
    <font>
      <i/>
      <sz val="12"/>
      <color theme="1"/>
      <name val="Times New Roman"/>
      <family val="1"/>
    </font>
    <font>
      <b/>
      <sz val="8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30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3" borderId="0" applyNumberFormat="0" applyBorder="0" applyAlignment="0" applyProtection="0"/>
    <xf numFmtId="0" fontId="125" fillId="3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3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47" fillId="11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47" fillId="11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0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5" borderId="0" applyNumberFormat="0" applyBorder="0" applyAlignment="0" applyProtection="0"/>
    <xf numFmtId="0" fontId="125" fillId="5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5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47" fillId="9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47" fillId="9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6" borderId="0" applyNumberFormat="0" applyBorder="0" applyAlignment="0" applyProtection="0"/>
    <xf numFmtId="0" fontId="125" fillId="6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6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47" fillId="14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47" fillId="14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3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7" borderId="0" applyNumberFormat="0" applyBorder="0" applyAlignment="0" applyProtection="0"/>
    <xf numFmtId="0" fontId="125" fillId="7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7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47" fillId="11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47" fillId="11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5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47" fillId="8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47" fillId="8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47" fillId="9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47" fillId="9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15" fillId="23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47" fillId="22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47" fillId="22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4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47" fillId="20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47" fillId="20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5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1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47" fillId="27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47" fillId="27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47" fillId="22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47" fillId="22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8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47" fillId="1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47" fillId="1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29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47" fillId="9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47" fillId="9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38" fillId="18" borderId="0" applyNumberFormat="0" applyBorder="0" applyAlignment="0" applyProtection="0"/>
    <xf numFmtId="0" fontId="16" fillId="31" borderId="0" applyNumberFormat="0" applyBorder="0" applyAlignment="0" applyProtection="0"/>
    <xf numFmtId="0" fontId="38" fillId="4" borderId="0" applyNumberFormat="0" applyBorder="0" applyAlignment="0" applyProtection="0"/>
    <xf numFmtId="0" fontId="16" fillId="20" borderId="0" applyNumberFormat="0" applyBorder="0" applyAlignment="0" applyProtection="0"/>
    <xf numFmtId="0" fontId="38" fillId="4" borderId="0" applyNumberFormat="0" applyBorder="0" applyAlignment="0" applyProtection="0"/>
    <xf numFmtId="0" fontId="16" fillId="21" borderId="0" applyNumberFormat="0" applyBorder="0" applyAlignment="0" applyProtection="0"/>
    <xf numFmtId="0" fontId="38" fillId="22" borderId="0" applyNumberFormat="0" applyBorder="0" applyAlignment="0" applyProtection="0"/>
    <xf numFmtId="0" fontId="16" fillId="32" borderId="0" applyNumberFormat="0" applyBorder="0" applyAlignment="0" applyProtection="0"/>
    <xf numFmtId="0" fontId="38" fillId="18" borderId="0" applyNumberFormat="0" applyBorder="0" applyAlignment="0" applyProtection="0"/>
    <xf numFmtId="0" fontId="16" fillId="33" borderId="0" applyNumberFormat="0" applyBorder="0" applyAlignment="0" applyProtection="0"/>
    <xf numFmtId="0" fontId="38" fillId="9" borderId="0" applyNumberFormat="0" applyBorder="0" applyAlignment="0" applyProtection="0"/>
    <xf numFmtId="0" fontId="16" fillId="34" borderId="0" applyNumberFormat="0" applyBorder="0" applyAlignment="0" applyProtection="0"/>
    <xf numFmtId="0" fontId="126" fillId="35" borderId="0" applyNumberFormat="0" applyBorder="0" applyAlignment="0" applyProtection="0"/>
    <xf numFmtId="0" fontId="126" fillId="35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6" fillId="36" borderId="0" applyNumberFormat="0" applyBorder="0" applyAlignment="0" applyProtection="0"/>
    <xf numFmtId="0" fontId="126" fillId="3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26" fillId="37" borderId="0" applyNumberFormat="0" applyBorder="0" applyAlignment="0" applyProtection="0"/>
    <xf numFmtId="0" fontId="126" fillId="37" borderId="0" applyNumberFormat="0" applyBorder="0" applyAlignment="0" applyProtection="0"/>
    <xf numFmtId="0" fontId="126" fillId="37" borderId="0" applyNumberFormat="0" applyBorder="0" applyAlignment="0" applyProtection="0"/>
    <xf numFmtId="0" fontId="126" fillId="21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26" fillId="38" borderId="0" applyNumberFormat="0" applyBorder="0" applyAlignment="0" applyProtection="0"/>
    <xf numFmtId="0" fontId="126" fillId="38" borderId="0" applyNumberFormat="0" applyBorder="0" applyAlignment="0" applyProtection="0"/>
    <xf numFmtId="0" fontId="126" fillId="38" borderId="0" applyNumberFormat="0" applyBorder="0" applyAlignment="0" applyProtection="0"/>
    <xf numFmtId="0" fontId="126" fillId="3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26" fillId="39" borderId="0" applyNumberFormat="0" applyBorder="0" applyAlignment="0" applyProtection="0"/>
    <xf numFmtId="0" fontId="126" fillId="39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6" fillId="40" borderId="0" applyNumberFormat="0" applyBorder="0" applyAlignment="0" applyProtection="0"/>
    <xf numFmtId="0" fontId="126" fillId="40" borderId="0" applyNumberFormat="0" applyBorder="0" applyAlignment="0" applyProtection="0"/>
    <xf numFmtId="0" fontId="126" fillId="40" borderId="0" applyNumberFormat="0" applyBorder="0" applyAlignment="0" applyProtection="0"/>
    <xf numFmtId="0" fontId="126" fillId="3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38" fillId="18" borderId="0" applyNumberFormat="0" applyBorder="0" applyAlignment="0" applyProtection="0"/>
    <xf numFmtId="0" fontId="16" fillId="4" borderId="0" applyNumberFormat="0" applyBorder="0" applyAlignment="0" applyProtection="0"/>
    <xf numFmtId="0" fontId="38" fillId="41" borderId="0" applyNumberFormat="0" applyBorder="0" applyAlignment="0" applyProtection="0"/>
    <xf numFmtId="0" fontId="16" fillId="41" borderId="0" applyNumberFormat="0" applyBorder="0" applyAlignment="0" applyProtection="0"/>
    <xf numFmtId="0" fontId="38" fillId="42" borderId="0" applyNumberFormat="0" applyBorder="0" applyAlignment="0" applyProtection="0"/>
    <xf numFmtId="0" fontId="16" fillId="42" borderId="0" applyNumberFormat="0" applyBorder="0" applyAlignment="0" applyProtection="0"/>
    <xf numFmtId="0" fontId="38" fillId="43" borderId="0" applyNumberFormat="0" applyBorder="0" applyAlignment="0" applyProtection="0"/>
    <xf numFmtId="0" fontId="16" fillId="32" borderId="0" applyNumberFormat="0" applyBorder="0" applyAlignment="0" applyProtection="0"/>
    <xf numFmtId="0" fontId="38" fillId="18" borderId="0" applyNumberFormat="0" applyBorder="0" applyAlignment="0" applyProtection="0"/>
    <xf numFmtId="0" fontId="16" fillId="33" borderId="0" applyNumberFormat="0" applyBorder="0" applyAlignment="0" applyProtection="0"/>
    <xf numFmtId="0" fontId="38" fillId="44" borderId="0" applyNumberFormat="0" applyBorder="0" applyAlignment="0" applyProtection="0"/>
    <xf numFmtId="0" fontId="16" fillId="44" borderId="0" applyNumberFormat="0" applyBorder="0" applyAlignment="0" applyProtection="0"/>
    <xf numFmtId="0" fontId="27" fillId="5" borderId="0" applyNumberFormat="0" applyBorder="0" applyAlignment="0" applyProtection="0"/>
    <xf numFmtId="0" fontId="19" fillId="2" borderId="1" applyNumberFormat="0" applyAlignment="0" applyProtection="0"/>
    <xf numFmtId="0" fontId="19" fillId="22" borderId="1" applyNumberFormat="0" applyAlignment="0" applyProtection="0"/>
    <xf numFmtId="0" fontId="18" fillId="45" borderId="2" applyNumberFormat="0" applyAlignment="0" applyProtection="0"/>
    <xf numFmtId="0" fontId="24" fillId="45" borderId="3" applyNumberFormat="0" applyAlignment="0" applyProtection="0"/>
    <xf numFmtId="0" fontId="44" fillId="0" borderId="0">
      <alignment/>
      <protection locked="0"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44" fillId="0" borderId="0">
      <alignment/>
      <protection locked="0"/>
    </xf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202" fontId="44" fillId="0" borderId="0">
      <alignment/>
      <protection locked="0"/>
    </xf>
    <xf numFmtId="0" fontId="28" fillId="0" borderId="0" applyNumberFormat="0" applyFill="0" applyBorder="0" applyAlignment="0" applyProtection="0"/>
    <xf numFmtId="0" fontId="44" fillId="0" borderId="0">
      <alignment/>
      <protection locked="0"/>
    </xf>
    <xf numFmtId="0" fontId="31" fillId="6" borderId="0" applyNumberFormat="0" applyBorder="0" applyAlignment="0" applyProtection="0"/>
    <xf numFmtId="0" fontId="39" fillId="0" borderId="4" applyNumberFormat="0" applyFill="0" applyAlignment="0" applyProtection="0"/>
    <xf numFmtId="0" fontId="20" fillId="0" borderId="5" applyNumberFormat="0" applyFill="0" applyAlignment="0" applyProtection="0"/>
    <xf numFmtId="0" fontId="40" fillId="0" borderId="4" applyNumberFormat="0" applyFill="0" applyAlignment="0" applyProtection="0"/>
    <xf numFmtId="0" fontId="21" fillId="0" borderId="6" applyNumberFormat="0" applyFill="0" applyAlignment="0" applyProtection="0"/>
    <xf numFmtId="0" fontId="41" fillId="0" borderId="7" applyNumberFormat="0" applyFill="0" applyAlignment="0" applyProtection="0"/>
    <xf numFmtId="0" fontId="22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0">
      <alignment/>
      <protection locked="0"/>
    </xf>
    <xf numFmtId="0" fontId="45" fillId="0" borderId="0">
      <alignment/>
      <protection locked="0"/>
    </xf>
    <xf numFmtId="0" fontId="36" fillId="0" borderId="0">
      <alignment/>
      <protection/>
    </xf>
    <xf numFmtId="0" fontId="42" fillId="9" borderId="1" applyNumberFormat="0" applyAlignment="0" applyProtection="0"/>
    <xf numFmtId="0" fontId="17" fillId="9" borderId="1" applyNumberFormat="0" applyAlignment="0" applyProtection="0"/>
    <xf numFmtId="0" fontId="29" fillId="0" borderId="9" applyNumberFormat="0" applyFill="0" applyAlignment="0" applyProtection="0"/>
    <xf numFmtId="0" fontId="26" fillId="27" borderId="0" applyNumberFormat="0" applyBorder="0" applyAlignment="0" applyProtection="0"/>
    <xf numFmtId="0" fontId="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14" borderId="10" applyNumberFormat="0" applyFont="0" applyAlignment="0" applyProtection="0"/>
    <xf numFmtId="0" fontId="8" fillId="14" borderId="10" applyNumberFormat="0" applyFont="0" applyAlignment="0" applyProtection="0"/>
    <xf numFmtId="0" fontId="24" fillId="2" borderId="11" applyNumberFormat="0" applyAlignment="0" applyProtection="0"/>
    <xf numFmtId="0" fontId="18" fillId="22" borderId="12" applyNumberFormat="0" applyAlignment="0" applyProtection="0"/>
    <xf numFmtId="0" fontId="4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44" fillId="0" borderId="14">
      <alignment/>
      <protection locked="0"/>
    </xf>
    <xf numFmtId="0" fontId="23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126" fillId="46" borderId="0" applyNumberFormat="0" applyBorder="0" applyAlignment="0" applyProtection="0"/>
    <xf numFmtId="0" fontId="126" fillId="46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6" fillId="47" borderId="0" applyNumberFormat="0" applyBorder="0" applyAlignment="0" applyProtection="0"/>
    <xf numFmtId="0" fontId="126" fillId="47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126" fillId="48" borderId="0" applyNumberFormat="0" applyBorder="0" applyAlignment="0" applyProtection="0"/>
    <xf numFmtId="0" fontId="126" fillId="48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126" fillId="49" borderId="0" applyNumberFormat="0" applyBorder="0" applyAlignment="0" applyProtection="0"/>
    <xf numFmtId="0" fontId="126" fillId="49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26" fillId="50" borderId="0" applyNumberFormat="0" applyBorder="0" applyAlignment="0" applyProtection="0"/>
    <xf numFmtId="0" fontId="126" fillId="50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6" fillId="51" borderId="0" applyNumberFormat="0" applyBorder="0" applyAlignment="0" applyProtection="0"/>
    <xf numFmtId="0" fontId="126" fillId="51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27" fillId="52" borderId="16" applyNumberFormat="0" applyAlignment="0" applyProtection="0"/>
    <xf numFmtId="0" fontId="127" fillId="52" borderId="16" applyNumberFormat="0" applyAlignment="0" applyProtection="0"/>
    <xf numFmtId="0" fontId="49" fillId="9" borderId="1" applyNumberFormat="0" applyAlignment="0" applyProtection="0"/>
    <xf numFmtId="0" fontId="49" fillId="9" borderId="1" applyNumberFormat="0" applyAlignment="0" applyProtection="0"/>
    <xf numFmtId="0" fontId="128" fillId="53" borderId="17" applyNumberFormat="0" applyAlignment="0" applyProtection="0"/>
    <xf numFmtId="0" fontId="128" fillId="53" borderId="17" applyNumberFormat="0" applyAlignment="0" applyProtection="0"/>
    <xf numFmtId="0" fontId="50" fillId="11" borderId="12" applyNumberFormat="0" applyAlignment="0" applyProtection="0"/>
    <xf numFmtId="0" fontId="50" fillId="11" borderId="12" applyNumberFormat="0" applyAlignment="0" applyProtection="0"/>
    <xf numFmtId="0" fontId="129" fillId="53" borderId="16" applyNumberFormat="0" applyAlignment="0" applyProtection="0"/>
    <xf numFmtId="0" fontId="129" fillId="53" borderId="16" applyNumberFormat="0" applyAlignment="0" applyProtection="0"/>
    <xf numFmtId="0" fontId="51" fillId="11" borderId="1" applyNumberFormat="0" applyAlignment="0" applyProtection="0"/>
    <xf numFmtId="0" fontId="51" fillId="11" borderId="1" applyNumberFormat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64" fillId="0" borderId="0">
      <alignment horizontal="center" vertical="top" wrapText="1"/>
      <protection/>
    </xf>
    <xf numFmtId="0" fontId="131" fillId="0" borderId="18" applyNumberFormat="0" applyFill="0" applyAlignment="0" applyProtection="0"/>
    <xf numFmtId="0" fontId="131" fillId="0" borderId="18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132" fillId="0" borderId="20" applyNumberFormat="0" applyFill="0" applyAlignment="0" applyProtection="0"/>
    <xf numFmtId="0" fontId="132" fillId="0" borderId="20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133" fillId="0" borderId="21" applyNumberFormat="0" applyFill="0" applyAlignment="0" applyProtection="0"/>
    <xf numFmtId="0" fontId="133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4" fillId="0" borderId="23" applyNumberFormat="0" applyFill="0" applyAlignment="0" applyProtection="0"/>
    <xf numFmtId="0" fontId="134" fillId="0" borderId="23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135" fillId="54" borderId="25" applyNumberFormat="0" applyAlignment="0" applyProtection="0"/>
    <xf numFmtId="0" fontId="135" fillId="54" borderId="25" applyNumberFormat="0" applyAlignment="0" applyProtection="0"/>
    <xf numFmtId="0" fontId="56" fillId="45" borderId="3" applyNumberFormat="0" applyAlignment="0" applyProtection="0"/>
    <xf numFmtId="0" fontId="56" fillId="45" borderId="3" applyNumberFormat="0" applyAlignment="0" applyProtection="0"/>
    <xf numFmtId="203" fontId="65" fillId="0" borderId="0" applyFont="0">
      <alignment vertical="top"/>
      <protection/>
    </xf>
    <xf numFmtId="203" fontId="66" fillId="0" borderId="0" applyFont="0">
      <alignment vertical="top"/>
      <protection/>
    </xf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7" fillId="55" borderId="0" applyNumberFormat="0" applyBorder="0" applyAlignment="0" applyProtection="0"/>
    <xf numFmtId="0" fontId="137" fillId="55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125" fillId="0" borderId="0">
      <alignment/>
      <protection/>
    </xf>
    <xf numFmtId="0" fontId="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37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37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3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39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8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40" fillId="0" borderId="0" applyNumberFormat="0" applyFill="0" applyBorder="0" applyAlignment="0" applyProtection="0"/>
    <xf numFmtId="0" fontId="141" fillId="56" borderId="0" applyNumberFormat="0" applyBorder="0" applyAlignment="0" applyProtection="0"/>
    <xf numFmtId="0" fontId="141" fillId="56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47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47" fillId="14" borderId="10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3" fontId="65" fillId="0" borderId="0" applyFont="0">
      <alignment vertical="top"/>
      <protection/>
    </xf>
    <xf numFmtId="0" fontId="143" fillId="0" borderId="27" applyNumberFormat="0" applyFill="0" applyAlignment="0" applyProtection="0"/>
    <xf numFmtId="0" fontId="143" fillId="0" borderId="27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04" fontId="65" fillId="0" borderId="0" applyFont="0">
      <alignment vertical="top"/>
      <protection/>
    </xf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145" fillId="58" borderId="0" applyNumberFormat="0" applyBorder="0" applyAlignment="0" applyProtection="0"/>
    <xf numFmtId="0" fontId="145" fillId="58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</cellStyleXfs>
  <cellXfs count="958">
    <xf numFmtId="0" fontId="0" fillId="0" borderId="0" xfId="0" applyAlignment="1">
      <alignment/>
    </xf>
    <xf numFmtId="0" fontId="2" fillId="11" borderId="28" xfId="0" applyFont="1" applyFill="1" applyBorder="1" applyAlignment="1">
      <alignment horizontal="center" vertical="center" wrapText="1"/>
    </xf>
    <xf numFmtId="0" fontId="2" fillId="11" borderId="28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29" xfId="0" applyFont="1" applyBorder="1" applyAlignment="1">
      <alignment vertical="center" wrapText="1"/>
    </xf>
    <xf numFmtId="0" fontId="2" fillId="11" borderId="29" xfId="0" applyFont="1" applyFill="1" applyBorder="1" applyAlignment="1">
      <alignment horizontal="center" vertical="center" wrapText="1"/>
    </xf>
    <xf numFmtId="0" fontId="2" fillId="11" borderId="29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3" fontId="1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2" fillId="11" borderId="30" xfId="0" applyFont="1" applyFill="1" applyBorder="1" applyAlignment="1">
      <alignment horizontal="center" vertical="center" wrapText="1"/>
    </xf>
    <xf numFmtId="0" fontId="2" fillId="11" borderId="31" xfId="0" applyFont="1" applyFill="1" applyBorder="1" applyAlignment="1">
      <alignment vertical="center" wrapText="1"/>
    </xf>
    <xf numFmtId="0" fontId="2" fillId="11" borderId="32" xfId="0" applyFont="1" applyFill="1" applyBorder="1" applyAlignment="1">
      <alignment horizontal="center" vertical="center" wrapText="1"/>
    </xf>
    <xf numFmtId="0" fontId="2" fillId="11" borderId="33" xfId="0" applyFont="1" applyFill="1" applyBorder="1" applyAlignment="1">
      <alignment vertical="center" wrapText="1"/>
    </xf>
    <xf numFmtId="0" fontId="2" fillId="11" borderId="34" xfId="0" applyFont="1" applyFill="1" applyBorder="1" applyAlignment="1">
      <alignment vertical="center" wrapText="1"/>
    </xf>
    <xf numFmtId="0" fontId="2" fillId="11" borderId="35" xfId="0" applyFont="1" applyFill="1" applyBorder="1" applyAlignment="1">
      <alignment vertical="center" wrapText="1"/>
    </xf>
    <xf numFmtId="0" fontId="2" fillId="11" borderId="36" xfId="0" applyFont="1" applyFill="1" applyBorder="1" applyAlignment="1">
      <alignment horizontal="center" vertical="center" wrapText="1"/>
    </xf>
    <xf numFmtId="0" fontId="2" fillId="11" borderId="37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vertical="center" wrapText="1"/>
    </xf>
    <xf numFmtId="0" fontId="33" fillId="11" borderId="39" xfId="0" applyFont="1" applyFill="1" applyBorder="1" applyAlignment="1">
      <alignment horizontal="center" vertical="center" wrapText="1"/>
    </xf>
    <xf numFmtId="0" fontId="2" fillId="11" borderId="40" xfId="0" applyFont="1" applyFill="1" applyBorder="1" applyAlignment="1">
      <alignment horizontal="center" vertical="center" wrapText="1"/>
    </xf>
    <xf numFmtId="0" fontId="2" fillId="11" borderId="41" xfId="0" applyFont="1" applyFill="1" applyBorder="1" applyAlignment="1">
      <alignment vertical="center" wrapText="1"/>
    </xf>
    <xf numFmtId="0" fontId="2" fillId="11" borderId="42" xfId="0" applyFont="1" applyFill="1" applyBorder="1" applyAlignment="1">
      <alignment vertical="center" wrapText="1"/>
    </xf>
    <xf numFmtId="0" fontId="3" fillId="11" borderId="43" xfId="0" applyFont="1" applyFill="1" applyBorder="1" applyAlignment="1">
      <alignment horizontal="center" vertical="center" wrapText="1"/>
    </xf>
    <xf numFmtId="0" fontId="3" fillId="11" borderId="44" xfId="0" applyFont="1" applyFill="1" applyBorder="1" applyAlignment="1">
      <alignment vertical="center" wrapText="1"/>
    </xf>
    <xf numFmtId="0" fontId="2" fillId="11" borderId="45" xfId="0" applyFont="1" applyFill="1" applyBorder="1" applyAlignment="1">
      <alignment horizontal="center" vertical="center" wrapText="1"/>
    </xf>
    <xf numFmtId="0" fontId="2" fillId="11" borderId="46" xfId="0" applyFont="1" applyFill="1" applyBorder="1" applyAlignment="1">
      <alignment vertical="center" wrapText="1"/>
    </xf>
    <xf numFmtId="0" fontId="3" fillId="11" borderId="44" xfId="0" applyFont="1" applyFill="1" applyBorder="1" applyAlignment="1">
      <alignment horizontal="center" vertical="center" wrapText="1"/>
    </xf>
    <xf numFmtId="0" fontId="3" fillId="11" borderId="47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horizontal="center" vertical="center" wrapText="1"/>
    </xf>
    <xf numFmtId="0" fontId="2" fillId="11" borderId="48" xfId="0" applyFont="1" applyFill="1" applyBorder="1" applyAlignment="1">
      <alignment vertical="center" wrapText="1"/>
    </xf>
    <xf numFmtId="0" fontId="11" fillId="11" borderId="45" xfId="0" applyFont="1" applyFill="1" applyBorder="1" applyAlignment="1">
      <alignment horizontal="center" vertical="center" wrapText="1"/>
    </xf>
    <xf numFmtId="0" fontId="2" fillId="11" borderId="49" xfId="0" applyFont="1" applyFill="1" applyBorder="1" applyAlignment="1">
      <alignment horizontal="center" vertical="center" wrapText="1"/>
    </xf>
    <xf numFmtId="0" fontId="2" fillId="11" borderId="50" xfId="0" applyFont="1" applyFill="1" applyBorder="1" applyAlignment="1">
      <alignment vertical="center" wrapText="1"/>
    </xf>
    <xf numFmtId="0" fontId="2" fillId="11" borderId="51" xfId="0" applyFont="1" applyFill="1" applyBorder="1" applyAlignment="1">
      <alignment horizontal="center" vertical="center" wrapText="1"/>
    </xf>
    <xf numFmtId="0" fontId="3" fillId="11" borderId="39" xfId="0" applyFont="1" applyFill="1" applyBorder="1" applyAlignment="1">
      <alignment horizontal="center" vertical="center" wrapText="1"/>
    </xf>
    <xf numFmtId="0" fontId="3" fillId="11" borderId="52" xfId="0" applyFont="1" applyFill="1" applyBorder="1" applyAlignment="1">
      <alignment vertical="center" wrapText="1"/>
    </xf>
    <xf numFmtId="0" fontId="2" fillId="11" borderId="39" xfId="0" applyFont="1" applyFill="1" applyBorder="1" applyAlignment="1">
      <alignment horizontal="center" vertical="center" wrapText="1"/>
    </xf>
    <xf numFmtId="0" fontId="2" fillId="11" borderId="52" xfId="0" applyFont="1" applyFill="1" applyBorder="1" applyAlignment="1">
      <alignment vertical="center" wrapText="1"/>
    </xf>
    <xf numFmtId="0" fontId="2" fillId="11" borderId="53" xfId="0" applyFont="1" applyFill="1" applyBorder="1" applyAlignment="1">
      <alignment vertical="center" wrapText="1"/>
    </xf>
    <xf numFmtId="0" fontId="2" fillId="11" borderId="54" xfId="0" applyFont="1" applyFill="1" applyBorder="1" applyAlignment="1">
      <alignment horizontal="center" vertical="center" wrapText="1"/>
    </xf>
    <xf numFmtId="0" fontId="2" fillId="11" borderId="55" xfId="0" applyFont="1" applyFill="1" applyBorder="1" applyAlignment="1">
      <alignment vertical="center" wrapText="1"/>
    </xf>
    <xf numFmtId="0" fontId="2" fillId="11" borderId="56" xfId="0" applyFont="1" applyFill="1" applyBorder="1" applyAlignment="1">
      <alignment vertical="center" wrapText="1"/>
    </xf>
    <xf numFmtId="0" fontId="3" fillId="11" borderId="57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vertical="center" wrapText="1"/>
    </xf>
    <xf numFmtId="0" fontId="2" fillId="11" borderId="49" xfId="0" applyFont="1" applyFill="1" applyBorder="1" applyAlignment="1">
      <alignment vertical="center" wrapText="1"/>
    </xf>
    <xf numFmtId="0" fontId="11" fillId="11" borderId="49" xfId="0" applyFont="1" applyFill="1" applyBorder="1" applyAlignment="1">
      <alignment horizontal="center" vertical="center" wrapText="1"/>
    </xf>
    <xf numFmtId="0" fontId="2" fillId="11" borderId="51" xfId="0" applyFont="1" applyFill="1" applyBorder="1" applyAlignment="1">
      <alignment vertical="center" wrapText="1"/>
    </xf>
    <xf numFmtId="0" fontId="3" fillId="11" borderId="39" xfId="0" applyFont="1" applyFill="1" applyBorder="1" applyAlignment="1">
      <alignment vertical="center" wrapText="1"/>
    </xf>
    <xf numFmtId="0" fontId="3" fillId="11" borderId="49" xfId="0" applyFont="1" applyFill="1" applyBorder="1" applyAlignment="1">
      <alignment horizontal="center" vertical="center" wrapText="1"/>
    </xf>
    <xf numFmtId="0" fontId="3" fillId="11" borderId="54" xfId="0" applyFont="1" applyFill="1" applyBorder="1" applyAlignment="1">
      <alignment horizontal="center" vertical="center" wrapText="1"/>
    </xf>
    <xf numFmtId="0" fontId="2" fillId="11" borderId="54" xfId="0" applyFont="1" applyFill="1" applyBorder="1" applyAlignment="1">
      <alignment vertical="center" wrapText="1"/>
    </xf>
    <xf numFmtId="0" fontId="2" fillId="11" borderId="45" xfId="0" applyFont="1" applyFill="1" applyBorder="1" applyAlignment="1">
      <alignment vertical="center" wrapText="1"/>
    </xf>
    <xf numFmtId="0" fontId="11" fillId="11" borderId="46" xfId="0" applyFont="1" applyFill="1" applyBorder="1" applyAlignment="1">
      <alignment vertical="center" wrapText="1"/>
    </xf>
    <xf numFmtId="0" fontId="12" fillId="11" borderId="32" xfId="0" applyFont="1" applyFill="1" applyBorder="1" applyAlignment="1">
      <alignment horizontal="center" vertical="center" wrapText="1"/>
    </xf>
    <xf numFmtId="0" fontId="2" fillId="11" borderId="58" xfId="0" applyFont="1" applyFill="1" applyBorder="1" applyAlignment="1">
      <alignment horizontal="center" vertical="center" wrapText="1"/>
    </xf>
    <xf numFmtId="0" fontId="2" fillId="11" borderId="59" xfId="0" applyFont="1" applyFill="1" applyBorder="1" applyAlignment="1">
      <alignment vertical="center" wrapText="1"/>
    </xf>
    <xf numFmtId="0" fontId="3" fillId="11" borderId="51" xfId="0" applyFont="1" applyFill="1" applyBorder="1" applyAlignment="1">
      <alignment horizontal="left" vertical="center" wrapText="1"/>
    </xf>
    <xf numFmtId="0" fontId="2" fillId="11" borderId="60" xfId="0" applyFont="1" applyFill="1" applyBorder="1" applyAlignment="1">
      <alignment horizontal="center" vertical="center" wrapText="1"/>
    </xf>
    <xf numFmtId="0" fontId="33" fillId="11" borderId="49" xfId="0" applyFont="1" applyFill="1" applyBorder="1" applyAlignment="1">
      <alignment vertical="center" wrapText="1"/>
    </xf>
    <xf numFmtId="0" fontId="34" fillId="11" borderId="0" xfId="0" applyFont="1" applyFill="1" applyBorder="1" applyAlignment="1">
      <alignment horizontal="center" vertical="center" wrapText="1"/>
    </xf>
    <xf numFmtId="0" fontId="33" fillId="11" borderId="0" xfId="0" applyFont="1" applyFill="1" applyBorder="1" applyAlignment="1">
      <alignment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0" fontId="11" fillId="11" borderId="32" xfId="0" applyFont="1" applyFill="1" applyBorder="1" applyAlignment="1">
      <alignment horizontal="center" vertical="center" wrapText="1"/>
    </xf>
    <xf numFmtId="199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49" fontId="67" fillId="0" borderId="29" xfId="1507" applyNumberFormat="1" applyFont="1" applyFill="1" applyBorder="1" applyAlignment="1">
      <alignment horizontal="center" vertical="center" wrapText="1"/>
      <protection/>
    </xf>
    <xf numFmtId="49" fontId="71" fillId="0" borderId="29" xfId="1507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3" fontId="35" fillId="0" borderId="29" xfId="1507" applyNumberFormat="1" applyFont="1" applyFill="1" applyBorder="1" applyAlignment="1">
      <alignment vertical="center" wrapText="1"/>
      <protection/>
    </xf>
    <xf numFmtId="49" fontId="11" fillId="0" borderId="29" xfId="1507" applyNumberFormat="1" applyFont="1" applyFill="1" applyBorder="1" applyAlignment="1">
      <alignment horizontal="center" vertical="center" wrapText="1"/>
      <protection/>
    </xf>
    <xf numFmtId="3" fontId="11" fillId="0" borderId="29" xfId="1507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vertical="center" wrapText="1"/>
    </xf>
    <xf numFmtId="0" fontId="69" fillId="0" borderId="29" xfId="1507" applyFont="1" applyFill="1" applyBorder="1" applyAlignment="1">
      <alignment vertical="center" wrapText="1"/>
      <protection/>
    </xf>
    <xf numFmtId="0" fontId="12" fillId="0" borderId="29" xfId="1507" applyFont="1" applyFill="1" applyBorder="1" applyAlignment="1">
      <alignment vertical="center" wrapText="1"/>
      <protection/>
    </xf>
    <xf numFmtId="0" fontId="5" fillId="0" borderId="29" xfId="1507" applyFont="1" applyFill="1" applyBorder="1" applyAlignment="1">
      <alignment vertical="center" wrapText="1"/>
      <protection/>
    </xf>
    <xf numFmtId="3" fontId="3" fillId="11" borderId="61" xfId="0" applyNumberFormat="1" applyFont="1" applyFill="1" applyBorder="1" applyAlignment="1">
      <alignment horizontal="center" vertical="center" wrapText="1"/>
    </xf>
    <xf numFmtId="0" fontId="2" fillId="11" borderId="62" xfId="0" applyFont="1" applyFill="1" applyBorder="1" applyAlignment="1">
      <alignment vertical="center" wrapText="1"/>
    </xf>
    <xf numFmtId="0" fontId="11" fillId="11" borderId="33" xfId="0" applyFont="1" applyFill="1" applyBorder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16" fontId="67" fillId="11" borderId="29" xfId="1507" applyNumberFormat="1" applyFont="1" applyFill="1" applyBorder="1" applyAlignment="1">
      <alignment horizontal="center" vertical="center" wrapText="1"/>
      <protection/>
    </xf>
    <xf numFmtId="0" fontId="7" fillId="11" borderId="29" xfId="1507" applyFont="1" applyFill="1" applyBorder="1" applyAlignment="1">
      <alignment vertical="center" wrapText="1"/>
      <protection/>
    </xf>
    <xf numFmtId="0" fontId="3" fillId="11" borderId="29" xfId="0" applyFont="1" applyFill="1" applyBorder="1" applyAlignment="1">
      <alignment vertical="center" wrapText="1"/>
    </xf>
    <xf numFmtId="0" fontId="1" fillId="11" borderId="0" xfId="0" applyFont="1" applyFill="1" applyAlignment="1">
      <alignment vertical="center" wrapText="1"/>
    </xf>
    <xf numFmtId="0" fontId="3" fillId="11" borderId="29" xfId="0" applyFont="1" applyFill="1" applyBorder="1" applyAlignment="1">
      <alignment horizontal="center" vertical="center" wrapText="1"/>
    </xf>
    <xf numFmtId="0" fontId="33" fillId="11" borderId="60" xfId="0" applyFont="1" applyFill="1" applyBorder="1" applyAlignment="1">
      <alignment vertical="center" wrapText="1"/>
    </xf>
    <xf numFmtId="0" fontId="2" fillId="11" borderId="0" xfId="0" applyFont="1" applyFill="1" applyAlignment="1">
      <alignment/>
    </xf>
    <xf numFmtId="0" fontId="3" fillId="11" borderId="0" xfId="0" applyFont="1" applyFill="1" applyAlignment="1">
      <alignment horizontal="center" vertical="center" wrapText="1"/>
    </xf>
    <xf numFmtId="0" fontId="73" fillId="11" borderId="0" xfId="0" applyFont="1" applyFill="1" applyAlignment="1">
      <alignment/>
    </xf>
    <xf numFmtId="1" fontId="2" fillId="11" borderId="30" xfId="0" applyNumberFormat="1" applyFont="1" applyFill="1" applyBorder="1" applyAlignment="1">
      <alignment horizontal="center" vertical="center" wrapText="1"/>
    </xf>
    <xf numFmtId="1" fontId="2" fillId="11" borderId="32" xfId="0" applyNumberFormat="1" applyFont="1" applyFill="1" applyBorder="1" applyAlignment="1">
      <alignment horizontal="center" vertical="center" wrapText="1"/>
    </xf>
    <xf numFmtId="1" fontId="73" fillId="11" borderId="0" xfId="0" applyNumberFormat="1" applyFont="1" applyFill="1" applyAlignment="1">
      <alignment/>
    </xf>
    <xf numFmtId="3" fontId="3" fillId="11" borderId="40" xfId="0" applyNumberFormat="1" applyFont="1" applyFill="1" applyBorder="1" applyAlignment="1">
      <alignment horizontal="center" vertical="center" wrapText="1"/>
    </xf>
    <xf numFmtId="3" fontId="73" fillId="11" borderId="0" xfId="0" applyNumberFormat="1" applyFont="1" applyFill="1" applyAlignment="1">
      <alignment/>
    </xf>
    <xf numFmtId="3" fontId="73" fillId="11" borderId="0" xfId="0" applyNumberFormat="1" applyFont="1" applyFill="1" applyBorder="1" applyAlignment="1">
      <alignment/>
    </xf>
    <xf numFmtId="0" fontId="73" fillId="11" borderId="0" xfId="0" applyFont="1" applyFill="1" applyBorder="1" applyAlignment="1">
      <alignment/>
    </xf>
    <xf numFmtId="3" fontId="33" fillId="11" borderId="63" xfId="0" applyNumberFormat="1" applyFont="1" applyFill="1" applyBorder="1" applyAlignment="1">
      <alignment horizontal="center" vertical="center" wrapText="1"/>
    </xf>
    <xf numFmtId="3" fontId="74" fillId="11" borderId="0" xfId="0" applyNumberFormat="1" applyFont="1" applyFill="1" applyBorder="1" applyAlignment="1">
      <alignment/>
    </xf>
    <xf numFmtId="0" fontId="74" fillId="11" borderId="0" xfId="0" applyFont="1" applyFill="1" applyBorder="1" applyAlignment="1">
      <alignment/>
    </xf>
    <xf numFmtId="0" fontId="74" fillId="11" borderId="0" xfId="0" applyFont="1" applyFill="1" applyAlignment="1">
      <alignment/>
    </xf>
    <xf numFmtId="0" fontId="75" fillId="11" borderId="0" xfId="0" applyFont="1" applyFill="1" applyAlignment="1">
      <alignment/>
    </xf>
    <xf numFmtId="0" fontId="75" fillId="11" borderId="0" xfId="0" applyFont="1" applyFill="1" applyBorder="1" applyAlignment="1">
      <alignment/>
    </xf>
    <xf numFmtId="0" fontId="3" fillId="11" borderId="64" xfId="0" applyFont="1" applyFill="1" applyBorder="1" applyAlignment="1">
      <alignment horizontal="center" vertical="center" wrapText="1"/>
    </xf>
    <xf numFmtId="0" fontId="2" fillId="11" borderId="65" xfId="0" applyFont="1" applyFill="1" applyBorder="1" applyAlignment="1">
      <alignment horizontal="center" vertical="center" wrapText="1"/>
    </xf>
    <xf numFmtId="0" fontId="3" fillId="11" borderId="66" xfId="0" applyFont="1" applyFill="1" applyBorder="1" applyAlignment="1">
      <alignment horizontal="center" vertical="center" wrapText="1"/>
    </xf>
    <xf numFmtId="1" fontId="75" fillId="11" borderId="0" xfId="0" applyNumberFormat="1" applyFont="1" applyFill="1" applyAlignment="1">
      <alignment/>
    </xf>
    <xf numFmtId="3" fontId="75" fillId="11" borderId="0" xfId="0" applyNumberFormat="1" applyFont="1" applyFill="1" applyAlignment="1">
      <alignment/>
    </xf>
    <xf numFmtId="0" fontId="3" fillId="11" borderId="67" xfId="0" applyFont="1" applyFill="1" applyBorder="1" applyAlignment="1">
      <alignment horizontal="center" vertical="center" wrapText="1"/>
    </xf>
    <xf numFmtId="0" fontId="2" fillId="11" borderId="67" xfId="0" applyFont="1" applyFill="1" applyBorder="1" applyAlignment="1">
      <alignment horizontal="center" vertical="center" wrapText="1"/>
    </xf>
    <xf numFmtId="1" fontId="3" fillId="11" borderId="67" xfId="0" applyNumberFormat="1" applyFont="1" applyFill="1" applyBorder="1" applyAlignment="1">
      <alignment horizontal="center" vertical="center" wrapText="1"/>
    </xf>
    <xf numFmtId="1" fontId="2" fillId="11" borderId="37" xfId="0" applyNumberFormat="1" applyFont="1" applyFill="1" applyBorder="1" applyAlignment="1">
      <alignment horizontal="center" vertical="center" wrapText="1"/>
    </xf>
    <xf numFmtId="1" fontId="3" fillId="11" borderId="64" xfId="0" applyNumberFormat="1" applyFont="1" applyFill="1" applyBorder="1" applyAlignment="1">
      <alignment horizontal="center" vertical="center" wrapText="1"/>
    </xf>
    <xf numFmtId="3" fontId="33" fillId="11" borderId="32" xfId="0" applyNumberFormat="1" applyFont="1" applyFill="1" applyBorder="1" applyAlignment="1">
      <alignment horizontal="center" vertical="center" wrapText="1"/>
    </xf>
    <xf numFmtId="3" fontId="33" fillId="11" borderId="30" xfId="0" applyNumberFormat="1" applyFont="1" applyFill="1" applyBorder="1" applyAlignment="1">
      <alignment horizontal="center" vertical="center" wrapText="1"/>
    </xf>
    <xf numFmtId="3" fontId="33" fillId="11" borderId="67" xfId="0" applyNumberFormat="1" applyFont="1" applyFill="1" applyBorder="1" applyAlignment="1">
      <alignment horizontal="center" vertical="center" wrapText="1"/>
    </xf>
    <xf numFmtId="3" fontId="76" fillId="11" borderId="0" xfId="0" applyNumberFormat="1" applyFont="1" applyFill="1" applyAlignment="1">
      <alignment/>
    </xf>
    <xf numFmtId="0" fontId="76" fillId="11" borderId="0" xfId="0" applyFont="1" applyFill="1" applyAlignment="1">
      <alignment/>
    </xf>
    <xf numFmtId="0" fontId="73" fillId="11" borderId="0" xfId="0" applyFont="1" applyFill="1" applyBorder="1" applyAlignment="1">
      <alignment vertical="center" wrapText="1"/>
    </xf>
    <xf numFmtId="0" fontId="73" fillId="11" borderId="0" xfId="0" applyFont="1" applyFill="1" applyAlignment="1">
      <alignment vertical="center" wrapText="1"/>
    </xf>
    <xf numFmtId="0" fontId="33" fillId="11" borderId="45" xfId="0" applyFont="1" applyFill="1" applyBorder="1" applyAlignment="1">
      <alignment horizontal="center" vertical="center" wrapText="1"/>
    </xf>
    <xf numFmtId="0" fontId="33" fillId="11" borderId="45" xfId="0" applyFont="1" applyFill="1" applyBorder="1" applyAlignment="1">
      <alignment vertical="center" wrapText="1"/>
    </xf>
    <xf numFmtId="3" fontId="33" fillId="11" borderId="32" xfId="0" applyNumberFormat="1" applyFont="1" applyFill="1" applyBorder="1" applyAlignment="1">
      <alignment horizontal="center" vertical="center" wrapText="1"/>
    </xf>
    <xf numFmtId="0" fontId="3" fillId="11" borderId="40" xfId="0" applyFont="1" applyFill="1" applyBorder="1" applyAlignment="1">
      <alignment horizontal="center" vertical="center" wrapText="1"/>
    </xf>
    <xf numFmtId="0" fontId="12" fillId="11" borderId="33" xfId="0" applyFont="1" applyFill="1" applyBorder="1" applyAlignment="1">
      <alignment horizontal="left" vertical="center" wrapText="1"/>
    </xf>
    <xf numFmtId="0" fontId="77" fillId="11" borderId="0" xfId="0" applyFont="1" applyFill="1" applyAlignment="1">
      <alignment/>
    </xf>
    <xf numFmtId="0" fontId="3" fillId="11" borderId="45" xfId="0" applyFont="1" applyFill="1" applyBorder="1" applyAlignment="1">
      <alignment horizontal="center" vertical="center" wrapText="1"/>
    </xf>
    <xf numFmtId="0" fontId="78" fillId="11" borderId="0" xfId="0" applyFont="1" applyFill="1" applyAlignment="1">
      <alignment/>
    </xf>
    <xf numFmtId="188" fontId="2" fillId="11" borderId="29" xfId="0" applyNumberFormat="1" applyFont="1" applyFill="1" applyBorder="1" applyAlignment="1">
      <alignment horizontal="center" vertical="center" wrapText="1"/>
    </xf>
    <xf numFmtId="1" fontId="2" fillId="11" borderId="29" xfId="0" applyNumberFormat="1" applyFont="1" applyFill="1" applyBorder="1" applyAlignment="1">
      <alignment horizontal="center" vertical="center" wrapText="1"/>
    </xf>
    <xf numFmtId="0" fontId="3" fillId="11" borderId="68" xfId="0" applyFont="1" applyFill="1" applyBorder="1" applyAlignment="1">
      <alignment horizontal="center" vertical="center" wrapText="1"/>
    </xf>
    <xf numFmtId="1" fontId="3" fillId="11" borderId="40" xfId="0" applyNumberFormat="1" applyFont="1" applyFill="1" applyBorder="1" applyAlignment="1">
      <alignment horizontal="center" vertical="center" wrapText="1"/>
    </xf>
    <xf numFmtId="1" fontId="3" fillId="11" borderId="69" xfId="0" applyNumberFormat="1" applyFont="1" applyFill="1" applyBorder="1" applyAlignment="1">
      <alignment horizontal="center" vertical="center" wrapText="1"/>
    </xf>
    <xf numFmtId="3" fontId="3" fillId="11" borderId="69" xfId="0" applyNumberFormat="1" applyFont="1" applyFill="1" applyBorder="1" applyAlignment="1">
      <alignment horizontal="center" vertical="center" wrapText="1"/>
    </xf>
    <xf numFmtId="0" fontId="2" fillId="11" borderId="69" xfId="0" applyFont="1" applyFill="1" applyBorder="1" applyAlignment="1">
      <alignment horizontal="center" vertical="center" wrapText="1"/>
    </xf>
    <xf numFmtId="0" fontId="3" fillId="11" borderId="69" xfId="0" applyFont="1" applyFill="1" applyBorder="1" applyAlignment="1">
      <alignment horizontal="center" vertical="center" wrapText="1"/>
    </xf>
    <xf numFmtId="0" fontId="2" fillId="11" borderId="68" xfId="0" applyFont="1" applyFill="1" applyBorder="1" applyAlignment="1">
      <alignment horizontal="center" vertical="center" wrapText="1"/>
    </xf>
    <xf numFmtId="1" fontId="3" fillId="11" borderId="61" xfId="0" applyNumberFormat="1" applyFont="1" applyFill="1" applyBorder="1" applyAlignment="1">
      <alignment horizontal="center" vertical="center" wrapText="1"/>
    </xf>
    <xf numFmtId="1" fontId="2" fillId="11" borderId="68" xfId="0" applyNumberFormat="1" applyFont="1" applyFill="1" applyBorder="1" applyAlignment="1">
      <alignment horizontal="center" vertical="center" wrapText="1"/>
    </xf>
    <xf numFmtId="3" fontId="3" fillId="11" borderId="68" xfId="0" applyNumberFormat="1" applyFont="1" applyFill="1" applyBorder="1" applyAlignment="1">
      <alignment horizontal="center" vertical="center" wrapText="1"/>
    </xf>
    <xf numFmtId="3" fontId="3" fillId="11" borderId="29" xfId="0" applyNumberFormat="1" applyFont="1" applyFill="1" applyBorder="1" applyAlignment="1">
      <alignment horizontal="center" vertical="center" wrapText="1"/>
    </xf>
    <xf numFmtId="1" fontId="3" fillId="11" borderId="70" xfId="0" applyNumberFormat="1" applyFont="1" applyFill="1" applyBorder="1" applyAlignment="1">
      <alignment horizontal="center" vertical="center" wrapText="1"/>
    </xf>
    <xf numFmtId="0" fontId="3" fillId="11" borderId="70" xfId="0" applyFont="1" applyFill="1" applyBorder="1" applyAlignment="1">
      <alignment horizontal="center" vertical="center" wrapText="1"/>
    </xf>
    <xf numFmtId="3" fontId="3" fillId="11" borderId="70" xfId="0" applyNumberFormat="1" applyFont="1" applyFill="1" applyBorder="1" applyAlignment="1">
      <alignment horizontal="center" vertical="center" wrapText="1"/>
    </xf>
    <xf numFmtId="0" fontId="3" fillId="11" borderId="59" xfId="0" applyFont="1" applyFill="1" applyBorder="1" applyAlignment="1">
      <alignment horizontal="center" vertical="center" wrapText="1"/>
    </xf>
    <xf numFmtId="0" fontId="3" fillId="11" borderId="61" xfId="0" applyFont="1" applyFill="1" applyBorder="1" applyAlignment="1">
      <alignment horizontal="center" vertical="center" wrapText="1"/>
    </xf>
    <xf numFmtId="1" fontId="2" fillId="11" borderId="69" xfId="0" applyNumberFormat="1" applyFont="1" applyFill="1" applyBorder="1" applyAlignment="1">
      <alignment horizontal="center" vertical="center" wrapText="1"/>
    </xf>
    <xf numFmtId="1" fontId="2" fillId="11" borderId="42" xfId="0" applyNumberFormat="1" applyFont="1" applyFill="1" applyBorder="1" applyAlignment="1">
      <alignment horizontal="center" vertical="center" wrapText="1"/>
    </xf>
    <xf numFmtId="3" fontId="3" fillId="11" borderId="42" xfId="0" applyNumberFormat="1" applyFont="1" applyFill="1" applyBorder="1" applyAlignment="1">
      <alignment horizontal="center" vertical="center" wrapText="1"/>
    </xf>
    <xf numFmtId="1" fontId="2" fillId="11" borderId="62" xfId="0" applyNumberFormat="1" applyFont="1" applyFill="1" applyBorder="1" applyAlignment="1">
      <alignment horizontal="center" vertical="center" wrapText="1"/>
    </xf>
    <xf numFmtId="3" fontId="3" fillId="11" borderId="62" xfId="0" applyNumberFormat="1" applyFont="1" applyFill="1" applyBorder="1" applyAlignment="1">
      <alignment horizontal="center" vertical="center" wrapText="1"/>
    </xf>
    <xf numFmtId="1" fontId="2" fillId="11" borderId="71" xfId="0" applyNumberFormat="1" applyFont="1" applyFill="1" applyBorder="1" applyAlignment="1">
      <alignment horizontal="center" vertical="center" wrapText="1"/>
    </xf>
    <xf numFmtId="3" fontId="3" fillId="11" borderId="71" xfId="0" applyNumberFormat="1" applyFont="1" applyFill="1" applyBorder="1" applyAlignment="1">
      <alignment horizontal="center" vertical="center" wrapText="1"/>
    </xf>
    <xf numFmtId="0" fontId="2" fillId="11" borderId="72" xfId="0" applyFont="1" applyFill="1" applyBorder="1" applyAlignment="1">
      <alignment horizontal="center" vertical="center" wrapText="1"/>
    </xf>
    <xf numFmtId="3" fontId="3" fillId="11" borderId="14" xfId="0" applyNumberFormat="1" applyFont="1" applyFill="1" applyBorder="1" applyAlignment="1">
      <alignment horizontal="center" vertical="center" wrapText="1"/>
    </xf>
    <xf numFmtId="1" fontId="3" fillId="11" borderId="42" xfId="0" applyNumberFormat="1" applyFont="1" applyFill="1" applyBorder="1" applyAlignment="1">
      <alignment horizontal="center" vertical="center" wrapText="1"/>
    </xf>
    <xf numFmtId="3" fontId="72" fillId="11" borderId="0" xfId="0" applyNumberFormat="1" applyFont="1" applyFill="1" applyAlignment="1">
      <alignment/>
    </xf>
    <xf numFmtId="0" fontId="78" fillId="11" borderId="0" xfId="0" applyFont="1" applyFill="1" applyAlignment="1">
      <alignment vertical="center" wrapText="1"/>
    </xf>
    <xf numFmtId="1" fontId="3" fillId="11" borderId="29" xfId="0" applyNumberFormat="1" applyFont="1" applyFill="1" applyBorder="1" applyAlignment="1">
      <alignment horizontal="center" vertical="center" wrapText="1"/>
    </xf>
    <xf numFmtId="1" fontId="33" fillId="11" borderId="32" xfId="0" applyNumberFormat="1" applyFont="1" applyFill="1" applyBorder="1" applyAlignment="1">
      <alignment horizontal="center" vertical="center" wrapText="1"/>
    </xf>
    <xf numFmtId="1" fontId="33" fillId="11" borderId="68" xfId="0" applyNumberFormat="1" applyFont="1" applyFill="1" applyBorder="1" applyAlignment="1">
      <alignment horizontal="center" vertical="center" wrapText="1"/>
    </xf>
    <xf numFmtId="3" fontId="33" fillId="11" borderId="68" xfId="0" applyNumberFormat="1" applyFont="1" applyFill="1" applyBorder="1" applyAlignment="1">
      <alignment horizontal="center" vertical="center" wrapText="1"/>
    </xf>
    <xf numFmtId="1" fontId="2" fillId="11" borderId="70" xfId="0" applyNumberFormat="1" applyFont="1" applyFill="1" applyBorder="1" applyAlignment="1">
      <alignment horizontal="center" vertical="center" wrapText="1"/>
    </xf>
    <xf numFmtId="3" fontId="11" fillId="11" borderId="68" xfId="0" applyNumberFormat="1" applyFont="1" applyFill="1" applyBorder="1" applyAlignment="1">
      <alignment horizontal="center" vertical="center" wrapText="1"/>
    </xf>
    <xf numFmtId="1" fontId="11" fillId="11" borderId="29" xfId="0" applyNumberFormat="1" applyFont="1" applyFill="1" applyBorder="1" applyAlignment="1">
      <alignment horizontal="center" vertical="center" wrapText="1"/>
    </xf>
    <xf numFmtId="1" fontId="3" fillId="11" borderId="4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29" xfId="0" applyNumberFormat="1" applyFont="1" applyFill="1" applyBorder="1" applyAlignment="1">
      <alignment vertical="center" wrapText="1"/>
    </xf>
    <xf numFmtId="0" fontId="5" fillId="0" borderId="73" xfId="0" applyFont="1" applyFill="1" applyBorder="1" applyAlignment="1">
      <alignment vertical="center" wrapText="1"/>
    </xf>
    <xf numFmtId="0" fontId="5" fillId="11" borderId="73" xfId="0" applyFont="1" applyFill="1" applyBorder="1" applyAlignment="1">
      <alignment vertical="center" wrapText="1"/>
    </xf>
    <xf numFmtId="0" fontId="5" fillId="0" borderId="74" xfId="0" applyFont="1" applyFill="1" applyBorder="1" applyAlignment="1">
      <alignment vertical="center" wrapText="1"/>
    </xf>
    <xf numFmtId="188" fontId="5" fillId="0" borderId="0" xfId="0" applyNumberFormat="1" applyFont="1" applyAlignment="1">
      <alignment/>
    </xf>
    <xf numFmtId="0" fontId="4" fillId="0" borderId="75" xfId="0" applyFont="1" applyBorder="1" applyAlignment="1">
      <alignment vertical="center" wrapText="1"/>
    </xf>
    <xf numFmtId="3" fontId="4" fillId="0" borderId="76" xfId="0" applyNumberFormat="1" applyFont="1" applyBorder="1" applyAlignment="1">
      <alignment vertical="center" wrapText="1"/>
    </xf>
    <xf numFmtId="0" fontId="5" fillId="0" borderId="73" xfId="0" applyFont="1" applyBorder="1" applyAlignment="1">
      <alignment vertical="center" wrapText="1"/>
    </xf>
    <xf numFmtId="0" fontId="12" fillId="0" borderId="0" xfId="0" applyFont="1" applyAlignment="1">
      <alignment/>
    </xf>
    <xf numFmtId="0" fontId="5" fillId="0" borderId="74" xfId="0" applyFont="1" applyBorder="1" applyAlignment="1">
      <alignment vertical="center" wrapText="1"/>
    </xf>
    <xf numFmtId="0" fontId="5" fillId="0" borderId="77" xfId="0" applyFont="1" applyBorder="1" applyAlignment="1">
      <alignment vertical="center" wrapText="1"/>
    </xf>
    <xf numFmtId="3" fontId="4" fillId="0" borderId="29" xfId="0" applyNumberFormat="1" applyFont="1" applyBorder="1" applyAlignment="1">
      <alignment vertical="center" wrapText="1"/>
    </xf>
    <xf numFmtId="3" fontId="4" fillId="0" borderId="68" xfId="0" applyNumberFormat="1" applyFont="1" applyBorder="1" applyAlignment="1">
      <alignment vertical="center" wrapText="1"/>
    </xf>
    <xf numFmtId="0" fontId="5" fillId="0" borderId="78" xfId="0" applyFont="1" applyBorder="1" applyAlignment="1">
      <alignment vertical="center" wrapText="1"/>
    </xf>
    <xf numFmtId="0" fontId="5" fillId="11" borderId="74" xfId="0" applyFont="1" applyFill="1" applyBorder="1" applyAlignment="1">
      <alignment vertical="center" wrapText="1"/>
    </xf>
    <xf numFmtId="3" fontId="4" fillId="11" borderId="29" xfId="0" applyNumberFormat="1" applyFont="1" applyFill="1" applyBorder="1" applyAlignment="1">
      <alignment vertical="center" wrapText="1"/>
    </xf>
    <xf numFmtId="0" fontId="5" fillId="11" borderId="0" xfId="0" applyFont="1" applyFill="1" applyAlignment="1">
      <alignment/>
    </xf>
    <xf numFmtId="0" fontId="14" fillId="0" borderId="73" xfId="0" applyFont="1" applyBorder="1" applyAlignment="1">
      <alignment vertical="center" wrapText="1"/>
    </xf>
    <xf numFmtId="0" fontId="5" fillId="0" borderId="79" xfId="0" applyFont="1" applyFill="1" applyBorder="1" applyAlignment="1">
      <alignment vertical="center" wrapText="1"/>
    </xf>
    <xf numFmtId="3" fontId="5" fillId="11" borderId="0" xfId="0" applyNumberFormat="1" applyFont="1" applyFill="1" applyAlignment="1">
      <alignment/>
    </xf>
    <xf numFmtId="3" fontId="93" fillId="0" borderId="68" xfId="0" applyNumberFormat="1" applyFont="1" applyFill="1" applyBorder="1" applyAlignment="1">
      <alignment vertical="center" wrapText="1"/>
    </xf>
    <xf numFmtId="0" fontId="94" fillId="0" borderId="0" xfId="0" applyFont="1" applyAlignment="1">
      <alignment/>
    </xf>
    <xf numFmtId="3" fontId="94" fillId="0" borderId="0" xfId="0" applyNumberFormat="1" applyFont="1" applyAlignment="1">
      <alignment/>
    </xf>
    <xf numFmtId="0" fontId="2" fillId="0" borderId="68" xfId="0" applyFont="1" applyBorder="1" applyAlignment="1">
      <alignment vertical="center" wrapText="1"/>
    </xf>
    <xf numFmtId="3" fontId="93" fillId="0" borderId="29" xfId="0" applyNumberFormat="1" applyFont="1" applyFill="1" applyBorder="1" applyAlignment="1">
      <alignment vertical="center" wrapText="1"/>
    </xf>
    <xf numFmtId="0" fontId="5" fillId="0" borderId="80" xfId="0" applyFont="1" applyBorder="1" applyAlignment="1">
      <alignment vertical="center" wrapText="1"/>
    </xf>
    <xf numFmtId="3" fontId="4" fillId="0" borderId="81" xfId="0" applyNumberFormat="1" applyFont="1" applyBorder="1" applyAlignment="1">
      <alignment vertical="center" wrapText="1"/>
    </xf>
    <xf numFmtId="0" fontId="5" fillId="0" borderId="79" xfId="0" applyFont="1" applyBorder="1" applyAlignment="1">
      <alignment vertical="center" wrapText="1"/>
    </xf>
    <xf numFmtId="3" fontId="4" fillId="0" borderId="62" xfId="0" applyNumberFormat="1" applyFont="1" applyBorder="1" applyAlignment="1">
      <alignment vertical="center" wrapText="1"/>
    </xf>
    <xf numFmtId="0" fontId="2" fillId="0" borderId="0" xfId="1425" applyFont="1" applyAlignment="1">
      <alignment vertical="center" wrapText="1"/>
      <protection/>
    </xf>
    <xf numFmtId="0" fontId="2" fillId="0" borderId="0" xfId="1425" applyFont="1" applyAlignment="1">
      <alignment horizontal="right" vertical="center" wrapText="1"/>
      <protection/>
    </xf>
    <xf numFmtId="0" fontId="5" fillId="0" borderId="0" xfId="1425" applyFont="1" applyAlignment="1">
      <alignment vertical="center" wrapText="1"/>
      <protection/>
    </xf>
    <xf numFmtId="0" fontId="3" fillId="0" borderId="0" xfId="1425" applyFont="1" applyAlignment="1">
      <alignment vertical="center" wrapText="1"/>
      <protection/>
    </xf>
    <xf numFmtId="3" fontId="2" fillId="0" borderId="0" xfId="1425" applyNumberFormat="1" applyFont="1" applyAlignment="1">
      <alignment vertical="center" wrapText="1"/>
      <protection/>
    </xf>
    <xf numFmtId="1" fontId="75" fillId="11" borderId="0" xfId="0" applyNumberFormat="1" applyFont="1" applyFill="1" applyBorder="1" applyAlignment="1">
      <alignment/>
    </xf>
    <xf numFmtId="3" fontId="75" fillId="11" borderId="0" xfId="0" applyNumberFormat="1" applyFont="1" applyFill="1" applyBorder="1" applyAlignment="1">
      <alignment/>
    </xf>
    <xf numFmtId="0" fontId="94" fillId="0" borderId="73" xfId="0" applyFont="1" applyBorder="1" applyAlignment="1" applyProtection="1">
      <alignment vertical="center" wrapText="1"/>
      <protection locked="0"/>
    </xf>
    <xf numFmtId="1" fontId="2" fillId="11" borderId="40" xfId="0" applyNumberFormat="1" applyFont="1" applyFill="1" applyBorder="1" applyAlignment="1">
      <alignment horizontal="center" vertical="center" wrapText="1"/>
    </xf>
    <xf numFmtId="0" fontId="2" fillId="11" borderId="82" xfId="0" applyFont="1" applyFill="1" applyBorder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5" fillId="11" borderId="29" xfId="0" applyNumberFormat="1" applyFont="1" applyFill="1" applyBorder="1" applyAlignment="1">
      <alignment vertical="center" wrapText="1"/>
    </xf>
    <xf numFmtId="3" fontId="12" fillId="11" borderId="29" xfId="0" applyNumberFormat="1" applyFont="1" applyFill="1" applyBorder="1" applyAlignment="1">
      <alignment vertical="center" wrapText="1"/>
    </xf>
    <xf numFmtId="2" fontId="9" fillId="0" borderId="0" xfId="0" applyNumberFormat="1" applyFont="1" applyAlignment="1">
      <alignment vertical="center" wrapText="1"/>
    </xf>
    <xf numFmtId="188" fontId="9" fillId="0" borderId="0" xfId="0" applyNumberFormat="1" applyFont="1" applyAlignment="1">
      <alignment vertical="center" wrapText="1"/>
    </xf>
    <xf numFmtId="188" fontId="1" fillId="0" borderId="0" xfId="0" applyNumberFormat="1" applyFont="1" applyAlignment="1">
      <alignment vertical="center" wrapText="1"/>
    </xf>
    <xf numFmtId="3" fontId="5" fillId="11" borderId="68" xfId="0" applyNumberFormat="1" applyFont="1" applyFill="1" applyBorder="1" applyAlignment="1">
      <alignment vertical="center" wrapText="1"/>
    </xf>
    <xf numFmtId="0" fontId="79" fillId="11" borderId="29" xfId="0" applyFont="1" applyFill="1" applyBorder="1" applyAlignment="1">
      <alignment vertical="center" wrapText="1"/>
    </xf>
    <xf numFmtId="0" fontId="35" fillId="0" borderId="29" xfId="0" applyFont="1" applyBorder="1" applyAlignment="1">
      <alignment vertical="center" wrapText="1"/>
    </xf>
    <xf numFmtId="0" fontId="3" fillId="0" borderId="74" xfId="1425" applyFont="1" applyBorder="1" applyAlignment="1">
      <alignment vertical="center" wrapText="1"/>
      <protection/>
    </xf>
    <xf numFmtId="0" fontId="3" fillId="0" borderId="79" xfId="1425" applyFont="1" applyBorder="1" applyAlignment="1">
      <alignment vertical="center" wrapText="1"/>
      <protection/>
    </xf>
    <xf numFmtId="0" fontId="2" fillId="0" borderId="73" xfId="1425" applyFont="1" applyBorder="1" applyAlignment="1">
      <alignment vertical="center" wrapText="1"/>
      <protection/>
    </xf>
    <xf numFmtId="0" fontId="2" fillId="0" borderId="74" xfId="1425" applyFont="1" applyBorder="1" applyAlignment="1">
      <alignment vertical="center" wrapText="1"/>
      <protection/>
    </xf>
    <xf numFmtId="3" fontId="3" fillId="11" borderId="83" xfId="1425" applyNumberFormat="1" applyFont="1" applyFill="1" applyBorder="1" applyAlignment="1">
      <alignment vertical="center" wrapText="1"/>
      <protection/>
    </xf>
    <xf numFmtId="3" fontId="2" fillId="11" borderId="83" xfId="1425" applyNumberFormat="1" applyFont="1" applyFill="1" applyBorder="1" applyAlignment="1">
      <alignment vertical="center" wrapText="1"/>
      <protection/>
    </xf>
    <xf numFmtId="3" fontId="11" fillId="11" borderId="83" xfId="1425" applyNumberFormat="1" applyFont="1" applyFill="1" applyBorder="1" applyAlignment="1">
      <alignment vertical="center" wrapText="1"/>
      <protection/>
    </xf>
    <xf numFmtId="0" fontId="67" fillId="0" borderId="0" xfId="0" applyFont="1" applyAlignment="1">
      <alignment/>
    </xf>
    <xf numFmtId="0" fontId="67" fillId="0" borderId="0" xfId="0" applyFont="1" applyAlignment="1">
      <alignment horizontal="right"/>
    </xf>
    <xf numFmtId="0" fontId="6" fillId="0" borderId="75" xfId="0" applyFont="1" applyBorder="1" applyAlignment="1">
      <alignment vertical="center" wrapText="1"/>
    </xf>
    <xf numFmtId="0" fontId="11" fillId="11" borderId="31" xfId="0" applyFont="1" applyFill="1" applyBorder="1" applyAlignment="1">
      <alignment vertical="center" wrapText="1"/>
    </xf>
    <xf numFmtId="1" fontId="67" fillId="11" borderId="30" xfId="0" applyNumberFormat="1" applyFont="1" applyFill="1" applyBorder="1" applyAlignment="1">
      <alignment horizontal="center" vertical="center" wrapText="1"/>
    </xf>
    <xf numFmtId="1" fontId="70" fillId="11" borderId="40" xfId="0" applyNumberFormat="1" applyFont="1" applyFill="1" applyBorder="1" applyAlignment="1">
      <alignment horizontal="center" vertical="center" wrapText="1"/>
    </xf>
    <xf numFmtId="1" fontId="96" fillId="11" borderId="3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11" borderId="0" xfId="0" applyFont="1" applyFill="1" applyAlignment="1">
      <alignment horizontal="right"/>
    </xf>
    <xf numFmtId="1" fontId="73" fillId="11" borderId="0" xfId="0" applyNumberFormat="1" applyFont="1" applyFill="1" applyAlignment="1">
      <alignment vertical="center" wrapText="1"/>
    </xf>
    <xf numFmtId="0" fontId="12" fillId="11" borderId="45" xfId="0" applyFont="1" applyFill="1" applyBorder="1" applyAlignment="1">
      <alignment horizontal="center" vertical="center" wrapText="1"/>
    </xf>
    <xf numFmtId="0" fontId="12" fillId="11" borderId="50" xfId="0" applyFont="1" applyFill="1" applyBorder="1" applyAlignment="1">
      <alignment vertical="center" wrapText="1"/>
    </xf>
    <xf numFmtId="188" fontId="12" fillId="11" borderId="68" xfId="0" applyNumberFormat="1" applyFont="1" applyFill="1" applyBorder="1" applyAlignment="1">
      <alignment horizontal="center" vertical="center" wrapText="1"/>
    </xf>
    <xf numFmtId="0" fontId="80" fillId="11" borderId="0" xfId="0" applyFont="1" applyFill="1" applyAlignment="1">
      <alignment/>
    </xf>
    <xf numFmtId="1" fontId="80" fillId="11" borderId="0" xfId="0" applyNumberFormat="1" applyFont="1" applyFill="1" applyAlignment="1">
      <alignment/>
    </xf>
    <xf numFmtId="3" fontId="80" fillId="11" borderId="0" xfId="0" applyNumberFormat="1" applyFont="1" applyFill="1" applyAlignment="1">
      <alignment/>
    </xf>
    <xf numFmtId="0" fontId="1" fillId="0" borderId="0" xfId="919" applyFont="1">
      <alignment/>
      <protection/>
    </xf>
    <xf numFmtId="0" fontId="79" fillId="0" borderId="0" xfId="919" applyFont="1">
      <alignment/>
      <protection/>
    </xf>
    <xf numFmtId="2" fontId="79" fillId="11" borderId="29" xfId="1507" applyNumberFormat="1" applyFont="1" applyFill="1" applyBorder="1" applyAlignment="1">
      <alignment vertical="center" wrapText="1"/>
      <protection/>
    </xf>
    <xf numFmtId="4" fontId="79" fillId="11" borderId="29" xfId="1507" applyNumberFormat="1" applyFont="1" applyFill="1" applyBorder="1">
      <alignment/>
      <protection/>
    </xf>
    <xf numFmtId="2" fontId="97" fillId="11" borderId="29" xfId="1507" applyNumberFormat="1" applyFont="1" applyFill="1" applyBorder="1" applyAlignment="1">
      <alignment vertical="center" wrapText="1"/>
      <protection/>
    </xf>
    <xf numFmtId="4" fontId="97" fillId="11" borderId="29" xfId="1507" applyNumberFormat="1" applyFont="1" applyFill="1" applyBorder="1" applyAlignment="1">
      <alignment vertical="center" wrapText="1"/>
      <protection/>
    </xf>
    <xf numFmtId="2" fontId="98" fillId="11" borderId="29" xfId="1507" applyNumberFormat="1" applyFont="1" applyFill="1" applyBorder="1" applyAlignment="1">
      <alignment horizontal="center" vertical="center" wrapText="1"/>
      <protection/>
    </xf>
    <xf numFmtId="0" fontId="79" fillId="0" borderId="0" xfId="919" applyFont="1" applyAlignment="1">
      <alignment horizontal="right"/>
      <protection/>
    </xf>
    <xf numFmtId="4" fontId="97" fillId="11" borderId="29" xfId="1507" applyNumberFormat="1" applyFont="1" applyFill="1" applyBorder="1">
      <alignment/>
      <protection/>
    </xf>
    <xf numFmtId="0" fontId="99" fillId="11" borderId="39" xfId="0" applyFont="1" applyFill="1" applyBorder="1" applyAlignment="1">
      <alignment horizontal="center" vertical="center" wrapText="1"/>
    </xf>
    <xf numFmtId="0" fontId="14" fillId="11" borderId="31" xfId="0" applyFont="1" applyFill="1" applyBorder="1" applyAlignment="1">
      <alignment vertical="center" wrapText="1"/>
    </xf>
    <xf numFmtId="0" fontId="11" fillId="11" borderId="30" xfId="0" applyFont="1" applyFill="1" applyBorder="1" applyAlignment="1">
      <alignment horizontal="center" vertical="center" wrapText="1"/>
    </xf>
    <xf numFmtId="0" fontId="77" fillId="11" borderId="0" xfId="0" applyFont="1" applyFill="1" applyBorder="1" applyAlignment="1">
      <alignment/>
    </xf>
    <xf numFmtId="0" fontId="12" fillId="0" borderId="30" xfId="0" applyFont="1" applyFill="1" applyBorder="1" applyAlignment="1">
      <alignment horizontal="center" vertical="center" wrapText="1"/>
    </xf>
    <xf numFmtId="0" fontId="33" fillId="11" borderId="49" xfId="0" applyFont="1" applyFill="1" applyBorder="1" applyAlignment="1">
      <alignment horizontal="center" vertical="center" wrapText="1"/>
    </xf>
    <xf numFmtId="0" fontId="33" fillId="11" borderId="49" xfId="0" applyFont="1" applyFill="1" applyBorder="1" applyAlignment="1">
      <alignment vertical="center" wrapText="1"/>
    </xf>
    <xf numFmtId="3" fontId="100" fillId="11" borderId="0" xfId="0" applyNumberFormat="1" applyFont="1" applyFill="1" applyAlignment="1">
      <alignment/>
    </xf>
    <xf numFmtId="49" fontId="2" fillId="0" borderId="68" xfId="2078" applyNumberFormat="1" applyFont="1" applyBorder="1" applyAlignment="1">
      <alignment horizontal="center" vertical="center"/>
      <protection/>
    </xf>
    <xf numFmtId="4" fontId="67" fillId="0" borderId="29" xfId="2078" applyNumberFormat="1" applyFont="1" applyBorder="1" applyAlignment="1">
      <alignment horizontal="right" vertical="center"/>
      <protection/>
    </xf>
    <xf numFmtId="49" fontId="2" fillId="0" borderId="29" xfId="2078" applyNumberFormat="1" applyFont="1" applyBorder="1" applyAlignment="1">
      <alignment horizontal="center" vertical="center"/>
      <protection/>
    </xf>
    <xf numFmtId="4" fontId="70" fillId="0" borderId="29" xfId="2078" applyNumberFormat="1" applyFont="1" applyBorder="1" applyAlignment="1">
      <alignment horizontal="right" vertical="center"/>
      <protection/>
    </xf>
    <xf numFmtId="0" fontId="70" fillId="0" borderId="29" xfId="2078" applyFont="1" applyBorder="1" applyAlignment="1">
      <alignment vertical="center"/>
      <protection/>
    </xf>
    <xf numFmtId="4" fontId="67" fillId="0" borderId="0" xfId="0" applyNumberFormat="1" applyFont="1" applyAlignment="1">
      <alignment/>
    </xf>
    <xf numFmtId="2" fontId="1" fillId="0" borderId="0" xfId="0" applyNumberFormat="1" applyFont="1" applyAlignment="1">
      <alignment vertical="center" wrapText="1"/>
    </xf>
    <xf numFmtId="0" fontId="81" fillId="0" borderId="29" xfId="0" applyFont="1" applyBorder="1" applyAlignment="1">
      <alignment vertical="center" wrapText="1"/>
    </xf>
    <xf numFmtId="49" fontId="2" fillId="0" borderId="29" xfId="1507" applyNumberFormat="1" applyFont="1" applyFill="1" applyBorder="1" applyAlignment="1">
      <alignment horizontal="center" vertical="center" wrapText="1"/>
      <protection/>
    </xf>
    <xf numFmtId="4" fontId="67" fillId="11" borderId="29" xfId="2078" applyNumberFormat="1" applyFont="1" applyFill="1" applyBorder="1" applyAlignment="1">
      <alignment horizontal="right" vertical="center"/>
      <protection/>
    </xf>
    <xf numFmtId="49" fontId="3" fillId="0" borderId="29" xfId="2078" applyNumberFormat="1" applyFont="1" applyBorder="1" applyAlignment="1">
      <alignment horizontal="center" vertical="center"/>
      <protection/>
    </xf>
    <xf numFmtId="0" fontId="70" fillId="0" borderId="0" xfId="0" applyFont="1" applyAlignment="1">
      <alignment/>
    </xf>
    <xf numFmtId="0" fontId="4" fillId="0" borderId="0" xfId="0" applyFont="1" applyAlignment="1">
      <alignment horizontal="right" wrapText="1"/>
    </xf>
    <xf numFmtId="3" fontId="12" fillId="11" borderId="68" xfId="0" applyNumberFormat="1" applyFont="1" applyFill="1" applyBorder="1" applyAlignment="1">
      <alignment horizontal="center" vertical="center" wrapText="1"/>
    </xf>
    <xf numFmtId="4" fontId="70" fillId="0" borderId="0" xfId="0" applyNumberFormat="1" applyFont="1" applyAlignment="1">
      <alignment wrapText="1"/>
    </xf>
    <xf numFmtId="4" fontId="67" fillId="0" borderId="0" xfId="0" applyNumberFormat="1" applyFont="1" applyAlignment="1">
      <alignment wrapText="1"/>
    </xf>
    <xf numFmtId="4" fontId="70" fillId="0" borderId="0" xfId="0" applyNumberFormat="1" applyFont="1" applyAlignment="1">
      <alignment/>
    </xf>
    <xf numFmtId="0" fontId="11" fillId="11" borderId="54" xfId="0" applyFont="1" applyFill="1" applyBorder="1" applyAlignment="1">
      <alignment horizontal="center" vertical="center" wrapText="1"/>
    </xf>
    <xf numFmtId="0" fontId="2" fillId="11" borderId="8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88" fontId="11" fillId="11" borderId="30" xfId="0" applyNumberFormat="1" applyFont="1" applyFill="1" applyBorder="1" applyAlignment="1">
      <alignment horizontal="center" vertical="center" wrapText="1"/>
    </xf>
    <xf numFmtId="1" fontId="89" fillId="11" borderId="32" xfId="0" applyNumberFormat="1" applyFont="1" applyFill="1" applyBorder="1" applyAlignment="1">
      <alignment horizontal="center" vertical="center" wrapText="1"/>
    </xf>
    <xf numFmtId="1" fontId="2" fillId="11" borderId="63" xfId="0" applyNumberFormat="1" applyFont="1" applyFill="1" applyBorder="1" applyAlignment="1">
      <alignment horizontal="center" vertical="center" wrapText="1"/>
    </xf>
    <xf numFmtId="1" fontId="2" fillId="11" borderId="58" xfId="0" applyNumberFormat="1" applyFont="1" applyFill="1" applyBorder="1" applyAlignment="1">
      <alignment horizontal="center" vertical="center" wrapText="1"/>
    </xf>
    <xf numFmtId="3" fontId="35" fillId="11" borderId="30" xfId="0" applyNumberFormat="1" applyFont="1" applyFill="1" applyBorder="1" applyAlignment="1">
      <alignment horizontal="center" vertical="center" wrapText="1"/>
    </xf>
    <xf numFmtId="3" fontId="35" fillId="11" borderId="67" xfId="0" applyNumberFormat="1" applyFont="1" applyFill="1" applyBorder="1" applyAlignment="1">
      <alignment horizontal="center" vertical="center" wrapText="1"/>
    </xf>
    <xf numFmtId="0" fontId="2" fillId="11" borderId="85" xfId="0" applyFont="1" applyFill="1" applyBorder="1" applyAlignment="1">
      <alignment horizontal="center" vertical="center" wrapText="1"/>
    </xf>
    <xf numFmtId="0" fontId="3" fillId="11" borderId="35" xfId="0" applyFont="1" applyFill="1" applyBorder="1" applyAlignment="1">
      <alignment horizontal="center" vertical="center" wrapText="1"/>
    </xf>
    <xf numFmtId="0" fontId="11" fillId="11" borderId="29" xfId="0" applyFont="1" applyFill="1" applyBorder="1" applyAlignment="1">
      <alignment vertical="center" wrapText="1"/>
    </xf>
    <xf numFmtId="4" fontId="67" fillId="0" borderId="29" xfId="2078" applyNumberFormat="1" applyFont="1" applyBorder="1" applyAlignment="1">
      <alignment horizontal="center" vertical="center"/>
      <protection/>
    </xf>
    <xf numFmtId="0" fontId="84" fillId="11" borderId="68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13" fillId="0" borderId="0" xfId="0" applyFont="1" applyAlignment="1">
      <alignment vertical="center" wrapText="1"/>
    </xf>
    <xf numFmtId="2" fontId="13" fillId="0" borderId="0" xfId="0" applyNumberFormat="1" applyFont="1" applyAlignment="1">
      <alignment vertical="center" wrapText="1"/>
    </xf>
    <xf numFmtId="0" fontId="12" fillId="11" borderId="29" xfId="1507" applyFont="1" applyFill="1" applyBorder="1" applyAlignment="1">
      <alignment vertical="center" wrapText="1"/>
      <protection/>
    </xf>
    <xf numFmtId="3" fontId="35" fillId="11" borderId="29" xfId="1507" applyNumberFormat="1" applyFont="1" applyFill="1" applyBorder="1" applyAlignment="1">
      <alignment vertical="center" wrapText="1"/>
      <protection/>
    </xf>
    <xf numFmtId="0" fontId="3" fillId="0" borderId="29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9" xfId="0" applyFont="1" applyBorder="1" applyAlignment="1">
      <alignment horizontal="left" vertical="center" wrapText="1"/>
    </xf>
    <xf numFmtId="3" fontId="5" fillId="11" borderId="29" xfId="0" applyNumberFormat="1" applyFont="1" applyFill="1" applyBorder="1" applyAlignment="1">
      <alignment/>
    </xf>
    <xf numFmtId="0" fontId="3" fillId="0" borderId="65" xfId="0" applyFont="1" applyBorder="1" applyAlignment="1">
      <alignment/>
    </xf>
    <xf numFmtId="3" fontId="4" fillId="11" borderId="68" xfId="0" applyNumberFormat="1" applyFont="1" applyFill="1" applyBorder="1" applyAlignment="1">
      <alignment/>
    </xf>
    <xf numFmtId="3" fontId="4" fillId="11" borderId="0" xfId="0" applyNumberFormat="1" applyFont="1" applyFill="1" applyAlignment="1">
      <alignment/>
    </xf>
    <xf numFmtId="1" fontId="3" fillId="0" borderId="0" xfId="1425" applyNumberFormat="1" applyFont="1" applyAlignment="1">
      <alignment vertical="center" wrapText="1"/>
      <protection/>
    </xf>
    <xf numFmtId="4" fontId="2" fillId="0" borderId="0" xfId="1425" applyNumberFormat="1" applyFont="1" applyAlignment="1">
      <alignment vertical="center" wrapText="1"/>
      <protection/>
    </xf>
    <xf numFmtId="1" fontId="5" fillId="11" borderId="0" xfId="0" applyNumberFormat="1" applyFont="1" applyFill="1" applyAlignment="1">
      <alignment/>
    </xf>
    <xf numFmtId="0" fontId="102" fillId="11" borderId="0" xfId="0" applyFont="1" applyFill="1" applyAlignment="1">
      <alignment/>
    </xf>
    <xf numFmtId="3" fontId="95" fillId="11" borderId="0" xfId="0" applyNumberFormat="1" applyFont="1" applyFill="1" applyAlignment="1">
      <alignment/>
    </xf>
    <xf numFmtId="3" fontId="95" fillId="11" borderId="29" xfId="0" applyNumberFormat="1" applyFont="1" applyFill="1" applyBorder="1" applyAlignment="1">
      <alignment/>
    </xf>
    <xf numFmtId="3" fontId="4" fillId="0" borderId="86" xfId="0" applyNumberFormat="1" applyFont="1" applyBorder="1" applyAlignment="1">
      <alignment vertical="center" wrapText="1"/>
    </xf>
    <xf numFmtId="0" fontId="4" fillId="0" borderId="77" xfId="0" applyFont="1" applyBorder="1" applyAlignment="1">
      <alignment vertical="center" wrapText="1"/>
    </xf>
    <xf numFmtId="1" fontId="4" fillId="0" borderId="87" xfId="0" applyNumberFormat="1" applyFont="1" applyBorder="1" applyAlignment="1">
      <alignment vertical="center" wrapText="1"/>
    </xf>
    <xf numFmtId="0" fontId="5" fillId="0" borderId="88" xfId="0" applyFont="1" applyFill="1" applyBorder="1" applyAlignment="1">
      <alignment vertical="center" wrapText="1"/>
    </xf>
    <xf numFmtId="3" fontId="4" fillId="0" borderId="89" xfId="0" applyNumberFormat="1" applyFont="1" applyBorder="1" applyAlignment="1">
      <alignment vertical="center" wrapText="1"/>
    </xf>
    <xf numFmtId="0" fontId="103" fillId="0" borderId="0" xfId="0" applyFont="1" applyAlignment="1">
      <alignment vertical="center" wrapText="1"/>
    </xf>
    <xf numFmtId="3" fontId="104" fillId="0" borderId="0" xfId="0" applyNumberFormat="1" applyFont="1" applyAlignment="1">
      <alignment vertical="center" wrapText="1"/>
    </xf>
    <xf numFmtId="0" fontId="104" fillId="0" borderId="0" xfId="0" applyFont="1" applyAlignment="1">
      <alignment vertical="center" wrapText="1"/>
    </xf>
    <xf numFmtId="0" fontId="2" fillId="11" borderId="31" xfId="0" applyFont="1" applyFill="1" applyBorder="1" applyAlignment="1">
      <alignment horizontal="center" vertical="center" wrapText="1"/>
    </xf>
    <xf numFmtId="0" fontId="105" fillId="11" borderId="0" xfId="0" applyFont="1" applyFill="1" applyAlignment="1">
      <alignment/>
    </xf>
    <xf numFmtId="187" fontId="1" fillId="0" borderId="90" xfId="2902" applyFont="1" applyBorder="1" applyAlignment="1" applyProtection="1">
      <alignment horizontal="center" vertical="center" wrapText="1"/>
      <protection/>
    </xf>
    <xf numFmtId="3" fontId="5" fillId="11" borderId="90" xfId="0" applyNumberFormat="1" applyFont="1" applyFill="1" applyBorder="1" applyAlignment="1">
      <alignment vertical="center" wrapText="1"/>
    </xf>
    <xf numFmtId="3" fontId="4" fillId="0" borderId="91" xfId="0" applyNumberFormat="1" applyFont="1" applyBorder="1" applyAlignment="1">
      <alignment vertical="center" wrapText="1"/>
    </xf>
    <xf numFmtId="3" fontId="5" fillId="11" borderId="92" xfId="0" applyNumberFormat="1" applyFont="1" applyFill="1" applyBorder="1" applyAlignment="1">
      <alignment vertical="center" wrapText="1"/>
    </xf>
    <xf numFmtId="3" fontId="5" fillId="11" borderId="93" xfId="0" applyNumberFormat="1" applyFont="1" applyFill="1" applyBorder="1" applyAlignment="1">
      <alignment vertical="center" wrapText="1"/>
    </xf>
    <xf numFmtId="3" fontId="5" fillId="11" borderId="94" xfId="0" applyNumberFormat="1" applyFont="1" applyFill="1" applyBorder="1" applyAlignment="1">
      <alignment vertical="center" wrapText="1"/>
    </xf>
    <xf numFmtId="3" fontId="5" fillId="0" borderId="92" xfId="0" applyNumberFormat="1" applyFont="1" applyFill="1" applyBorder="1" applyAlignment="1">
      <alignment vertical="center" wrapText="1"/>
    </xf>
    <xf numFmtId="187" fontId="1" fillId="0" borderId="95" xfId="2902" applyFont="1" applyBorder="1" applyAlignment="1" applyProtection="1">
      <alignment horizontal="center" vertical="center" wrapText="1"/>
      <protection/>
    </xf>
    <xf numFmtId="187" fontId="1" fillId="0" borderId="96" xfId="2902" applyFont="1" applyBorder="1" applyAlignment="1" applyProtection="1">
      <alignment horizontal="center" vertical="center" wrapText="1"/>
      <protection/>
    </xf>
    <xf numFmtId="187" fontId="10" fillId="0" borderId="91" xfId="2902" applyFont="1" applyBorder="1" applyAlignment="1" applyProtection="1">
      <alignment horizontal="center" vertical="center" wrapText="1"/>
      <protection/>
    </xf>
    <xf numFmtId="0" fontId="5" fillId="0" borderId="97" xfId="0" applyFont="1" applyBorder="1" applyAlignment="1">
      <alignment/>
    </xf>
    <xf numFmtId="0" fontId="67" fillId="0" borderId="0" xfId="0" applyFont="1" applyAlignment="1">
      <alignment horizontal="center"/>
    </xf>
    <xf numFmtId="2" fontId="72" fillId="0" borderId="0" xfId="0" applyNumberFormat="1" applyFont="1" applyAlignment="1">
      <alignment/>
    </xf>
    <xf numFmtId="2" fontId="67" fillId="0" borderId="0" xfId="0" applyNumberFormat="1" applyFont="1" applyAlignment="1">
      <alignment/>
    </xf>
    <xf numFmtId="2" fontId="70" fillId="0" borderId="0" xfId="0" applyNumberFormat="1" applyFont="1" applyAlignment="1">
      <alignment/>
    </xf>
    <xf numFmtId="4" fontId="106" fillId="0" borderId="0" xfId="0" applyNumberFormat="1" applyFont="1" applyAlignment="1">
      <alignment/>
    </xf>
    <xf numFmtId="0" fontId="106" fillId="0" borderId="0" xfId="0" applyFont="1" applyAlignment="1">
      <alignment/>
    </xf>
    <xf numFmtId="2" fontId="10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" fontId="3" fillId="11" borderId="98" xfId="0" applyNumberFormat="1" applyFont="1" applyFill="1" applyBorder="1" applyAlignment="1">
      <alignment horizontal="center" vertical="center" wrapText="1"/>
    </xf>
    <xf numFmtId="0" fontId="2" fillId="11" borderId="53" xfId="0" applyFont="1" applyFill="1" applyBorder="1" applyAlignment="1">
      <alignment horizontal="center" vertical="center" wrapText="1"/>
    </xf>
    <xf numFmtId="187" fontId="1" fillId="0" borderId="29" xfId="2902" applyFont="1" applyBorder="1" applyAlignment="1" applyProtection="1">
      <alignment horizontal="center" vertical="center" wrapText="1"/>
      <protection/>
    </xf>
    <xf numFmtId="3" fontId="3" fillId="11" borderId="99" xfId="0" applyNumberFormat="1" applyFont="1" applyFill="1" applyBorder="1" applyAlignment="1">
      <alignment horizontal="center" vertical="center" wrapText="1"/>
    </xf>
    <xf numFmtId="3" fontId="5" fillId="11" borderId="62" xfId="0" applyNumberFormat="1" applyFont="1" applyFill="1" applyBorder="1" applyAlignment="1">
      <alignment vertical="center" wrapText="1"/>
    </xf>
    <xf numFmtId="189" fontId="5" fillId="0" borderId="0" xfId="0" applyNumberFormat="1" applyFont="1" applyAlignment="1">
      <alignment/>
    </xf>
    <xf numFmtId="0" fontId="3" fillId="0" borderId="73" xfId="1425" applyFont="1" applyBorder="1" applyAlignment="1">
      <alignment vertical="center" wrapText="1"/>
      <protection/>
    </xf>
    <xf numFmtId="0" fontId="107" fillId="11" borderId="0" xfId="0" applyFont="1" applyFill="1" applyAlignment="1">
      <alignment vertical="center" wrapText="1"/>
    </xf>
    <xf numFmtId="2" fontId="108" fillId="0" borderId="0" xfId="0" applyNumberFormat="1" applyFont="1" applyAlignment="1">
      <alignment vertical="center" wrapText="1"/>
    </xf>
    <xf numFmtId="0" fontId="2" fillId="11" borderId="29" xfId="2078" applyFont="1" applyFill="1" applyBorder="1" applyAlignment="1">
      <alignment vertical="center" wrapText="1"/>
      <protection/>
    </xf>
    <xf numFmtId="0" fontId="2" fillId="0" borderId="29" xfId="2078" applyFont="1" applyBorder="1" applyAlignment="1">
      <alignment vertical="center" wrapText="1"/>
      <protection/>
    </xf>
    <xf numFmtId="0" fontId="3" fillId="11" borderId="29" xfId="2078" applyFont="1" applyFill="1" applyBorder="1" applyAlignment="1">
      <alignment vertical="center" wrapText="1"/>
      <protection/>
    </xf>
    <xf numFmtId="190" fontId="1" fillId="0" borderId="0" xfId="0" applyNumberFormat="1" applyFont="1" applyAlignment="1">
      <alignment vertical="center" wrapText="1"/>
    </xf>
    <xf numFmtId="3" fontId="109" fillId="11" borderId="0" xfId="0" applyNumberFormat="1" applyFont="1" applyFill="1" applyAlignment="1">
      <alignment/>
    </xf>
    <xf numFmtId="189" fontId="4" fillId="0" borderId="0" xfId="0" applyNumberFormat="1" applyFont="1" applyAlignment="1">
      <alignment/>
    </xf>
    <xf numFmtId="0" fontId="12" fillId="11" borderId="85" xfId="0" applyFont="1" applyFill="1" applyBorder="1" applyAlignment="1">
      <alignment horizontal="center" vertical="center" wrapText="1"/>
    </xf>
    <xf numFmtId="1" fontId="12" fillId="11" borderId="68" xfId="0" applyNumberFormat="1" applyFont="1" applyFill="1" applyBorder="1" applyAlignment="1">
      <alignment horizontal="center" vertical="center" wrapText="1"/>
    </xf>
    <xf numFmtId="0" fontId="2" fillId="11" borderId="10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11" fillId="0" borderId="29" xfId="0" applyNumberFormat="1" applyFont="1" applyBorder="1" applyAlignment="1">
      <alignment vertical="center" wrapText="1"/>
    </xf>
    <xf numFmtId="3" fontId="11" fillId="11" borderId="29" xfId="0" applyNumberFormat="1" applyFont="1" applyFill="1" applyBorder="1" applyAlignment="1">
      <alignment vertical="center" wrapText="1"/>
    </xf>
    <xf numFmtId="3" fontId="86" fillId="11" borderId="29" xfId="1425" applyNumberFormat="1" applyFont="1" applyFill="1" applyBorder="1" applyAlignment="1">
      <alignment vertical="center" wrapText="1"/>
      <protection/>
    </xf>
    <xf numFmtId="3" fontId="6" fillId="11" borderId="29" xfId="1425" applyNumberFormat="1" applyFont="1" applyFill="1" applyBorder="1" applyAlignment="1">
      <alignment vertical="center" wrapText="1"/>
      <protection/>
    </xf>
    <xf numFmtId="3" fontId="87" fillId="11" borderId="29" xfId="1425" applyNumberFormat="1" applyFont="1" applyFill="1" applyBorder="1" applyAlignment="1">
      <alignment vertical="center" wrapText="1"/>
      <protection/>
    </xf>
    <xf numFmtId="3" fontId="6" fillId="11" borderId="62" xfId="1425" applyNumberFormat="1" applyFont="1" applyFill="1" applyBorder="1" applyAlignment="1">
      <alignment vertical="center" wrapText="1"/>
      <protection/>
    </xf>
    <xf numFmtId="3" fontId="87" fillId="11" borderId="62" xfId="1425" applyNumberFormat="1" applyFont="1" applyFill="1" applyBorder="1" applyAlignment="1">
      <alignment vertical="center" wrapText="1"/>
      <protection/>
    </xf>
    <xf numFmtId="3" fontId="6" fillId="0" borderId="62" xfId="1425" applyNumberFormat="1" applyFont="1" applyBorder="1" applyAlignment="1">
      <alignment vertical="center" wrapText="1"/>
      <protection/>
    </xf>
    <xf numFmtId="3" fontId="88" fillId="11" borderId="68" xfId="1425" applyNumberFormat="1" applyFont="1" applyFill="1" applyBorder="1" applyAlignment="1">
      <alignment vertical="center" wrapText="1"/>
      <protection/>
    </xf>
    <xf numFmtId="1" fontId="110" fillId="11" borderId="30" xfId="0" applyNumberFormat="1" applyFont="1" applyFill="1" applyBorder="1" applyAlignment="1">
      <alignment horizontal="center" vertical="center" wrapText="1"/>
    </xf>
    <xf numFmtId="0" fontId="68" fillId="0" borderId="73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68" fillId="0" borderId="73" xfId="0" applyNumberFormat="1" applyFont="1" applyBorder="1" applyAlignment="1">
      <alignment horizontal="center" vertical="center" wrapText="1"/>
    </xf>
    <xf numFmtId="0" fontId="69" fillId="0" borderId="74" xfId="0" applyFont="1" applyBorder="1" applyAlignment="1">
      <alignment horizontal="center"/>
    </xf>
    <xf numFmtId="3" fontId="9" fillId="0" borderId="0" xfId="0" applyNumberFormat="1" applyFont="1" applyAlignment="1">
      <alignment/>
    </xf>
    <xf numFmtId="0" fontId="69" fillId="0" borderId="73" xfId="0" applyFont="1" applyBorder="1" applyAlignment="1">
      <alignment horizontal="center"/>
    </xf>
    <xf numFmtId="0" fontId="68" fillId="0" borderId="74" xfId="0" applyFont="1" applyBorder="1" applyAlignment="1">
      <alignment horizontal="center"/>
    </xf>
    <xf numFmtId="0" fontId="68" fillId="14" borderId="101" xfId="0" applyFont="1" applyFill="1" applyBorder="1" applyAlignment="1">
      <alignment horizontal="center" wrapText="1"/>
    </xf>
    <xf numFmtId="0" fontId="112" fillId="14" borderId="87" xfId="0" applyFont="1" applyFill="1" applyBorder="1" applyAlignment="1">
      <alignment horizontal="center" vertical="top" wrapText="1"/>
    </xf>
    <xf numFmtId="0" fontId="68" fillId="11" borderId="102" xfId="0" applyFont="1" applyFill="1" applyBorder="1" applyAlignment="1">
      <alignment horizontal="center"/>
    </xf>
    <xf numFmtId="4" fontId="68" fillId="11" borderId="102" xfId="0" applyNumberFormat="1" applyFont="1" applyFill="1" applyBorder="1" applyAlignment="1">
      <alignment horizontal="center" vertical="center" wrapText="1"/>
    </xf>
    <xf numFmtId="4" fontId="68" fillId="11" borderId="74" xfId="0" applyNumberFormat="1" applyFont="1" applyFill="1" applyBorder="1" applyAlignment="1">
      <alignment horizontal="left" vertical="center" wrapText="1"/>
    </xf>
    <xf numFmtId="0" fontId="68" fillId="11" borderId="103" xfId="0" applyFont="1" applyFill="1" applyBorder="1" applyAlignment="1">
      <alignment horizontal="center"/>
    </xf>
    <xf numFmtId="2" fontId="10" fillId="0" borderId="0" xfId="0" applyNumberFormat="1" applyFont="1" applyAlignment="1">
      <alignment/>
    </xf>
    <xf numFmtId="2" fontId="104" fillId="0" borderId="0" xfId="0" applyNumberFormat="1" applyFont="1" applyAlignment="1">
      <alignment/>
    </xf>
    <xf numFmtId="4" fontId="10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" fontId="95" fillId="0" borderId="29" xfId="0" applyNumberFormat="1" applyFont="1" applyFill="1" applyBorder="1" applyAlignment="1">
      <alignment vertical="center" wrapText="1"/>
    </xf>
    <xf numFmtId="0" fontId="2" fillId="0" borderId="74" xfId="0" applyFont="1" applyBorder="1" applyAlignment="1">
      <alignment vertical="center" wrapText="1"/>
    </xf>
    <xf numFmtId="0" fontId="2" fillId="0" borderId="73" xfId="0" applyFont="1" applyBorder="1" applyAlignment="1">
      <alignment vertical="center" wrapText="1"/>
    </xf>
    <xf numFmtId="0" fontId="2" fillId="0" borderId="79" xfId="0" applyFont="1" applyBorder="1" applyAlignment="1">
      <alignment vertical="center" wrapText="1"/>
    </xf>
    <xf numFmtId="3" fontId="3" fillId="0" borderId="29" xfId="0" applyNumberFormat="1" applyFont="1" applyFill="1" applyBorder="1" applyAlignment="1">
      <alignment vertical="center" wrapText="1"/>
    </xf>
    <xf numFmtId="3" fontId="2" fillId="11" borderId="90" xfId="0" applyNumberFormat="1" applyFont="1" applyFill="1" applyBorder="1" applyAlignment="1">
      <alignment vertical="center" wrapText="1"/>
    </xf>
    <xf numFmtId="187" fontId="2" fillId="0" borderId="90" xfId="2902" applyFont="1" applyBorder="1" applyAlignment="1" applyProtection="1">
      <alignment horizontal="center" vertical="center" wrapText="1"/>
      <protection/>
    </xf>
    <xf numFmtId="3" fontId="3" fillId="0" borderId="68" xfId="0" applyNumberFormat="1" applyFont="1" applyFill="1" applyBorder="1" applyAlignment="1">
      <alignment vertical="center" wrapText="1"/>
    </xf>
    <xf numFmtId="3" fontId="3" fillId="0" borderId="62" xfId="0" applyNumberFormat="1" applyFont="1" applyFill="1" applyBorder="1" applyAlignment="1">
      <alignment vertical="center" wrapText="1"/>
    </xf>
    <xf numFmtId="3" fontId="2" fillId="11" borderId="71" xfId="0" applyNumberFormat="1" applyFont="1" applyFill="1" applyBorder="1" applyAlignment="1">
      <alignment vertical="center" wrapText="1"/>
    </xf>
    <xf numFmtId="3" fontId="2" fillId="11" borderId="104" xfId="0" applyNumberFormat="1" applyFont="1" applyFill="1" applyBorder="1" applyAlignment="1">
      <alignment vertical="center" wrapText="1"/>
    </xf>
    <xf numFmtId="0" fontId="3" fillId="0" borderId="75" xfId="0" applyFont="1" applyBorder="1" applyAlignment="1">
      <alignment vertical="center" wrapText="1"/>
    </xf>
    <xf numFmtId="3" fontId="3" fillId="11" borderId="76" xfId="0" applyNumberFormat="1" applyFont="1" applyFill="1" applyBorder="1" applyAlignment="1">
      <alignment vertical="center" wrapText="1"/>
    </xf>
    <xf numFmtId="3" fontId="3" fillId="11" borderId="86" xfId="0" applyNumberFormat="1" applyFont="1" applyFill="1" applyBorder="1" applyAlignment="1">
      <alignment vertical="center" wrapText="1"/>
    </xf>
    <xf numFmtId="3" fontId="3" fillId="11" borderId="91" xfId="0" applyNumberFormat="1" applyFont="1" applyFill="1" applyBorder="1" applyAlignment="1">
      <alignment vertical="center" wrapText="1"/>
    </xf>
    <xf numFmtId="189" fontId="94" fillId="0" borderId="0" xfId="0" applyNumberFormat="1" applyFont="1" applyAlignment="1">
      <alignment/>
    </xf>
    <xf numFmtId="3" fontId="3" fillId="0" borderId="29" xfId="0" applyNumberFormat="1" applyFont="1" applyBorder="1" applyAlignment="1">
      <alignment vertical="center" wrapText="1"/>
    </xf>
    <xf numFmtId="3" fontId="3" fillId="0" borderId="68" xfId="0" applyNumberFormat="1" applyFont="1" applyBorder="1" applyAlignment="1">
      <alignment vertical="center" wrapText="1"/>
    </xf>
    <xf numFmtId="0" fontId="11" fillId="0" borderId="74" xfId="0" applyFont="1" applyBorder="1" applyAlignment="1" applyProtection="1">
      <alignment/>
      <protection locked="0"/>
    </xf>
    <xf numFmtId="3" fontId="11" fillId="11" borderId="33" xfId="0" applyNumberFormat="1" applyFont="1" applyFill="1" applyBorder="1" applyAlignment="1">
      <alignment vertical="center" wrapText="1"/>
    </xf>
    <xf numFmtId="0" fontId="4" fillId="9" borderId="9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95" fillId="0" borderId="0" xfId="0" applyFont="1" applyBorder="1" applyAlignment="1" applyProtection="1">
      <alignment vertical="center" wrapText="1"/>
      <protection locked="0"/>
    </xf>
    <xf numFmtId="3" fontId="95" fillId="0" borderId="0" xfId="0" applyNumberFormat="1" applyFont="1" applyFill="1" applyBorder="1" applyAlignment="1">
      <alignment vertical="center" wrapText="1"/>
    </xf>
    <xf numFmtId="187" fontId="10" fillId="0" borderId="29" xfId="2902" applyFont="1" applyBorder="1" applyAlignment="1" applyProtection="1">
      <alignment horizontal="center" vertical="center" wrapText="1"/>
      <protection/>
    </xf>
    <xf numFmtId="3" fontId="3" fillId="11" borderId="68" xfId="0" applyNumberFormat="1" applyFont="1" applyFill="1" applyBorder="1" applyAlignment="1">
      <alignment vertical="center" wrapText="1"/>
    </xf>
    <xf numFmtId="3" fontId="3" fillId="11" borderId="33" xfId="0" applyNumberFormat="1" applyFont="1" applyFill="1" applyBorder="1" applyAlignment="1">
      <alignment vertical="center" wrapText="1"/>
    </xf>
    <xf numFmtId="187" fontId="3" fillId="0" borderId="90" xfId="2902" applyFont="1" applyBorder="1" applyAlignment="1" applyProtection="1">
      <alignment horizontal="center" vertical="center" wrapText="1"/>
      <protection/>
    </xf>
    <xf numFmtId="0" fontId="3" fillId="0" borderId="74" xfId="0" applyFont="1" applyBorder="1" applyAlignment="1">
      <alignment vertical="center" wrapText="1"/>
    </xf>
    <xf numFmtId="3" fontId="3" fillId="11" borderId="29" xfId="0" applyNumberFormat="1" applyFont="1" applyFill="1" applyBorder="1" applyAlignment="1">
      <alignment vertical="center" wrapText="1"/>
    </xf>
    <xf numFmtId="3" fontId="3" fillId="11" borderId="31" xfId="0" applyNumberFormat="1" applyFont="1" applyFill="1" applyBorder="1" applyAlignment="1">
      <alignment vertical="center" wrapText="1"/>
    </xf>
    <xf numFmtId="3" fontId="3" fillId="11" borderId="90" xfId="0" applyNumberFormat="1" applyFont="1" applyFill="1" applyBorder="1" applyAlignment="1">
      <alignment vertical="center" wrapText="1"/>
    </xf>
    <xf numFmtId="0" fontId="3" fillId="0" borderId="73" xfId="0" applyFont="1" applyBorder="1" applyAlignment="1" applyProtection="1">
      <alignment/>
      <protection locked="0"/>
    </xf>
    <xf numFmtId="187" fontId="3" fillId="0" borderId="92" xfId="2902" applyFont="1" applyBorder="1" applyAlignment="1" applyProtection="1">
      <alignment horizontal="center" vertical="center" wrapText="1"/>
      <protection/>
    </xf>
    <xf numFmtId="0" fontId="3" fillId="0" borderId="74" xfId="0" applyFont="1" applyBorder="1" applyAlignment="1" applyProtection="1">
      <alignment/>
      <protection locked="0"/>
    </xf>
    <xf numFmtId="0" fontId="3" fillId="0" borderId="73" xfId="0" applyFont="1" applyBorder="1" applyAlignment="1">
      <alignment vertical="center" wrapText="1"/>
    </xf>
    <xf numFmtId="0" fontId="3" fillId="0" borderId="74" xfId="0" applyFont="1" applyBorder="1" applyAlignment="1" applyProtection="1">
      <alignment vertical="center" wrapText="1"/>
      <protection locked="0"/>
    </xf>
    <xf numFmtId="187" fontId="99" fillId="0" borderId="90" xfId="2902" applyFont="1" applyBorder="1" applyAlignment="1" applyProtection="1">
      <alignment horizontal="center" vertical="center" wrapText="1"/>
      <protection/>
    </xf>
    <xf numFmtId="0" fontId="3" fillId="11" borderId="74" xfId="0" applyFont="1" applyFill="1" applyBorder="1" applyAlignment="1">
      <alignment vertical="center" wrapText="1"/>
    </xf>
    <xf numFmtId="3" fontId="4" fillId="11" borderId="31" xfId="0" applyNumberFormat="1" applyFont="1" applyFill="1" applyBorder="1" applyAlignment="1">
      <alignment vertical="center" wrapText="1"/>
    </xf>
    <xf numFmtId="3" fontId="4" fillId="11" borderId="90" xfId="0" applyNumberFormat="1" applyFont="1" applyFill="1" applyBorder="1" applyAlignment="1">
      <alignment vertical="center" wrapText="1"/>
    </xf>
    <xf numFmtId="0" fontId="3" fillId="0" borderId="74" xfId="0" applyFont="1" applyFill="1" applyBorder="1" applyAlignment="1">
      <alignment vertical="center" wrapText="1"/>
    </xf>
    <xf numFmtId="3" fontId="94" fillId="11" borderId="29" xfId="0" applyNumberFormat="1" applyFont="1" applyFill="1" applyBorder="1" applyAlignment="1">
      <alignment vertical="center" wrapText="1"/>
    </xf>
    <xf numFmtId="3" fontId="113" fillId="0" borderId="0" xfId="0" applyNumberFormat="1" applyFont="1" applyAlignment="1">
      <alignment/>
    </xf>
    <xf numFmtId="3" fontId="94" fillId="11" borderId="31" xfId="0" applyNumberFormat="1" applyFont="1" applyFill="1" applyBorder="1" applyAlignment="1">
      <alignment vertical="center" wrapText="1"/>
    </xf>
    <xf numFmtId="3" fontId="94" fillId="11" borderId="90" xfId="0" applyNumberFormat="1" applyFont="1" applyFill="1" applyBorder="1" applyAlignment="1">
      <alignment vertical="center" wrapText="1"/>
    </xf>
    <xf numFmtId="187" fontId="101" fillId="0" borderId="29" xfId="2902" applyFont="1" applyBorder="1" applyAlignment="1" applyProtection="1">
      <alignment horizontal="center" vertical="center" wrapText="1"/>
      <protection/>
    </xf>
    <xf numFmtId="0" fontId="3" fillId="11" borderId="73" xfId="0" applyFont="1" applyFill="1" applyBorder="1" applyAlignment="1">
      <alignment horizontal="left" vertical="center" wrapText="1"/>
    </xf>
    <xf numFmtId="218" fontId="3" fillId="0" borderId="29" xfId="2902" applyNumberFormat="1" applyFont="1" applyBorder="1" applyAlignment="1" applyProtection="1">
      <alignment horizontal="center" vertical="center" wrapText="1"/>
      <protection/>
    </xf>
    <xf numFmtId="187" fontId="11" fillId="0" borderId="90" xfId="2902" applyFont="1" applyBorder="1" applyAlignment="1" applyProtection="1">
      <alignment horizontal="center" vertical="center" wrapText="1"/>
      <protection/>
    </xf>
    <xf numFmtId="3" fontId="3" fillId="11" borderId="105" xfId="0" applyNumberFormat="1" applyFont="1" applyFill="1" applyBorder="1" applyAlignment="1">
      <alignment vertical="center" wrapText="1"/>
    </xf>
    <xf numFmtId="3" fontId="3" fillId="11" borderId="106" xfId="0" applyNumberFormat="1" applyFont="1" applyFill="1" applyBorder="1" applyAlignment="1">
      <alignment vertical="center" wrapText="1"/>
    </xf>
    <xf numFmtId="187" fontId="3" fillId="0" borderId="106" xfId="2902" applyFont="1" applyBorder="1" applyAlignment="1" applyProtection="1">
      <alignment horizontal="center" vertical="center" wrapText="1"/>
      <protection/>
    </xf>
    <xf numFmtId="187" fontId="2" fillId="0" borderId="106" xfId="2902" applyFont="1" applyBorder="1" applyAlignment="1" applyProtection="1">
      <alignment horizontal="center" vertical="center" wrapText="1"/>
      <protection/>
    </xf>
    <xf numFmtId="187" fontId="3" fillId="0" borderId="29" xfId="2902" applyFont="1" applyBorder="1" applyAlignment="1" applyProtection="1">
      <alignment horizontal="center" vertical="center" wrapText="1"/>
      <protection/>
    </xf>
    <xf numFmtId="3" fontId="3" fillId="11" borderId="72" xfId="0" applyNumberFormat="1" applyFont="1" applyFill="1" applyBorder="1" applyAlignment="1">
      <alignment vertical="center" wrapText="1"/>
    </xf>
    <xf numFmtId="3" fontId="3" fillId="11" borderId="65" xfId="0" applyNumberFormat="1" applyFont="1" applyFill="1" applyBorder="1" applyAlignment="1">
      <alignment vertical="center" wrapText="1"/>
    </xf>
    <xf numFmtId="0" fontId="95" fillId="0" borderId="0" xfId="0" applyFont="1" applyAlignment="1">
      <alignment/>
    </xf>
    <xf numFmtId="3" fontId="95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187" fontId="1" fillId="0" borderId="93" xfId="2902" applyFont="1" applyBorder="1" applyAlignment="1" applyProtection="1">
      <alignment horizontal="center" vertical="center" wrapText="1"/>
      <protection/>
    </xf>
    <xf numFmtId="0" fontId="5" fillId="0" borderId="78" xfId="0" applyFont="1" applyFill="1" applyBorder="1" applyAlignment="1">
      <alignment vertical="center" wrapText="1"/>
    </xf>
    <xf numFmtId="0" fontId="95" fillId="0" borderId="80" xfId="0" applyFont="1" applyBorder="1" applyAlignment="1" applyProtection="1">
      <alignment vertical="center" wrapText="1"/>
      <protection locked="0"/>
    </xf>
    <xf numFmtId="3" fontId="95" fillId="0" borderId="81" xfId="0" applyNumberFormat="1" applyFont="1" applyFill="1" applyBorder="1" applyAlignment="1">
      <alignment vertical="center" wrapText="1"/>
    </xf>
    <xf numFmtId="3" fontId="86" fillId="11" borderId="90" xfId="1425" applyNumberFormat="1" applyFont="1" applyFill="1" applyBorder="1" applyAlignment="1">
      <alignment vertical="center" wrapText="1"/>
      <protection/>
    </xf>
    <xf numFmtId="3" fontId="6" fillId="0" borderId="93" xfId="1425" applyNumberFormat="1" applyFont="1" applyBorder="1" applyAlignment="1">
      <alignment vertical="center" wrapText="1"/>
      <protection/>
    </xf>
    <xf numFmtId="0" fontId="2" fillId="11" borderId="102" xfId="1425" applyFont="1" applyFill="1" applyBorder="1" applyAlignment="1">
      <alignment vertical="center" wrapText="1"/>
      <protection/>
    </xf>
    <xf numFmtId="3" fontId="2" fillId="11" borderId="106" xfId="1425" applyNumberFormat="1" applyFont="1" applyFill="1" applyBorder="1" applyAlignment="1">
      <alignment vertical="center" wrapText="1"/>
      <protection/>
    </xf>
    <xf numFmtId="0" fontId="3" fillId="0" borderId="88" xfId="1425" applyFont="1" applyBorder="1" applyAlignment="1">
      <alignment vertical="center" wrapText="1"/>
      <protection/>
    </xf>
    <xf numFmtId="3" fontId="6" fillId="0" borderId="89" xfId="1425" applyNumberFormat="1" applyFont="1" applyBorder="1" applyAlignment="1">
      <alignment vertical="center" wrapText="1"/>
      <protection/>
    </xf>
    <xf numFmtId="3" fontId="87" fillId="0" borderId="89" xfId="1425" applyNumberFormat="1" applyFont="1" applyBorder="1" applyAlignment="1">
      <alignment vertical="center" wrapText="1"/>
      <protection/>
    </xf>
    <xf numFmtId="3" fontId="6" fillId="0" borderId="95" xfId="1425" applyNumberFormat="1" applyFont="1" applyBorder="1" applyAlignment="1">
      <alignment vertical="center" wrapText="1"/>
      <protection/>
    </xf>
    <xf numFmtId="3" fontId="6" fillId="11" borderId="68" xfId="1425" applyNumberFormat="1" applyFont="1" applyFill="1" applyBorder="1" applyAlignment="1">
      <alignment vertical="center" wrapText="1"/>
      <protection/>
    </xf>
    <xf numFmtId="3" fontId="87" fillId="11" borderId="68" xfId="1425" applyNumberFormat="1" applyFont="1" applyFill="1" applyBorder="1" applyAlignment="1">
      <alignment vertical="center" wrapText="1"/>
      <protection/>
    </xf>
    <xf numFmtId="3" fontId="86" fillId="11" borderId="68" xfId="1425" applyNumberFormat="1" applyFont="1" applyFill="1" applyBorder="1" applyAlignment="1">
      <alignment vertical="center" wrapText="1"/>
      <protection/>
    </xf>
    <xf numFmtId="3" fontId="86" fillId="11" borderId="92" xfId="1425" applyNumberFormat="1" applyFont="1" applyFill="1" applyBorder="1" applyAlignment="1">
      <alignment vertical="center" wrapText="1"/>
      <protection/>
    </xf>
    <xf numFmtId="3" fontId="12" fillId="0" borderId="0" xfId="0" applyNumberFormat="1" applyFont="1" applyAlignment="1">
      <alignment/>
    </xf>
    <xf numFmtId="3" fontId="3" fillId="0" borderId="81" xfId="0" applyNumberFormat="1" applyFont="1" applyFill="1" applyBorder="1" applyAlignment="1">
      <alignment vertical="center" wrapText="1"/>
    </xf>
    <xf numFmtId="0" fontId="3" fillId="0" borderId="80" xfId="0" applyFont="1" applyBorder="1" applyAlignment="1">
      <alignment vertical="center" wrapText="1"/>
    </xf>
    <xf numFmtId="187" fontId="10" fillId="0" borderId="81" xfId="2902" applyFont="1" applyBorder="1" applyAlignment="1" applyProtection="1">
      <alignment horizontal="center" vertical="center" wrapText="1"/>
      <protection/>
    </xf>
    <xf numFmtId="3" fontId="3" fillId="11" borderId="81" xfId="0" applyNumberFormat="1" applyFont="1" applyFill="1" applyBorder="1" applyAlignment="1">
      <alignment vertical="center" wrapText="1"/>
    </xf>
    <xf numFmtId="187" fontId="104" fillId="0" borderId="29" xfId="2902" applyFont="1" applyBorder="1" applyAlignment="1" applyProtection="1">
      <alignment horizontal="center" vertical="center" wrapText="1"/>
      <protection/>
    </xf>
    <xf numFmtId="3" fontId="102" fillId="0" borderId="0" xfId="0" applyNumberFormat="1" applyFont="1" applyAlignment="1">
      <alignment/>
    </xf>
    <xf numFmtId="3" fontId="114" fillId="0" borderId="0" xfId="0" applyNumberFormat="1" applyFont="1" applyAlignment="1">
      <alignment/>
    </xf>
    <xf numFmtId="0" fontId="114" fillId="0" borderId="0" xfId="0" applyFont="1" applyAlignment="1">
      <alignment/>
    </xf>
    <xf numFmtId="3" fontId="115" fillId="0" borderId="0" xfId="0" applyNumberFormat="1" applyFont="1" applyAlignment="1">
      <alignment/>
    </xf>
    <xf numFmtId="0" fontId="116" fillId="41" borderId="0" xfId="0" applyFont="1" applyFill="1" applyAlignment="1">
      <alignment/>
    </xf>
    <xf numFmtId="0" fontId="2" fillId="11" borderId="68" xfId="0" applyFont="1" applyFill="1" applyBorder="1" applyAlignment="1">
      <alignment vertical="center" wrapText="1"/>
    </xf>
    <xf numFmtId="0" fontId="33" fillId="11" borderId="39" xfId="0" applyFont="1" applyFill="1" applyBorder="1" applyAlignment="1">
      <alignment vertical="center" wrapText="1"/>
    </xf>
    <xf numFmtId="1" fontId="33" fillId="11" borderId="67" xfId="0" applyNumberFormat="1" applyFont="1" applyFill="1" applyBorder="1" applyAlignment="1">
      <alignment horizontal="center" vertical="center" wrapText="1"/>
    </xf>
    <xf numFmtId="1" fontId="33" fillId="11" borderId="70" xfId="0" applyNumberFormat="1" applyFont="1" applyFill="1" applyBorder="1" applyAlignment="1">
      <alignment horizontal="center" vertical="center" wrapText="1"/>
    </xf>
    <xf numFmtId="3" fontId="33" fillId="11" borderId="107" xfId="0" applyNumberFormat="1" applyFont="1" applyFill="1" applyBorder="1" applyAlignment="1">
      <alignment horizontal="center" vertical="center" wrapText="1"/>
    </xf>
    <xf numFmtId="3" fontId="33" fillId="11" borderId="108" xfId="0" applyNumberFormat="1" applyFont="1" applyFill="1" applyBorder="1" applyAlignment="1">
      <alignment horizontal="center" vertical="center" wrapText="1"/>
    </xf>
    <xf numFmtId="0" fontId="3" fillId="11" borderId="109" xfId="0" applyFont="1" applyFill="1" applyBorder="1" applyAlignment="1">
      <alignment horizontal="center" vertical="center" wrapText="1"/>
    </xf>
    <xf numFmtId="0" fontId="34" fillId="11" borderId="43" xfId="0" applyFont="1" applyFill="1" applyBorder="1" applyAlignment="1">
      <alignment horizontal="center" vertical="center" wrapText="1"/>
    </xf>
    <xf numFmtId="0" fontId="111" fillId="11" borderId="0" xfId="0" applyFont="1" applyFill="1" applyAlignment="1">
      <alignment horizontal="right"/>
    </xf>
    <xf numFmtId="0" fontId="14" fillId="0" borderId="0" xfId="0" applyFont="1" applyAlignment="1">
      <alignment horizontal="center" vertical="center" wrapText="1"/>
    </xf>
    <xf numFmtId="3" fontId="35" fillId="11" borderId="33" xfId="0" applyNumberFormat="1" applyFont="1" applyFill="1" applyBorder="1" applyAlignment="1">
      <alignment vertical="center" wrapText="1"/>
    </xf>
    <xf numFmtId="3" fontId="35" fillId="11" borderId="31" xfId="0" applyNumberFormat="1" applyFont="1" applyFill="1" applyBorder="1" applyAlignment="1">
      <alignment vertical="center" wrapText="1"/>
    </xf>
    <xf numFmtId="3" fontId="14" fillId="11" borderId="31" xfId="0" applyNumberFormat="1" applyFont="1" applyFill="1" applyBorder="1" applyAlignment="1">
      <alignment vertical="center" wrapText="1"/>
    </xf>
    <xf numFmtId="3" fontId="14" fillId="0" borderId="76" xfId="0" applyNumberFormat="1" applyFont="1" applyBorder="1" applyAlignment="1">
      <alignment vertical="center" wrapText="1"/>
    </xf>
    <xf numFmtId="3" fontId="35" fillId="11" borderId="76" xfId="0" applyNumberFormat="1" applyFont="1" applyFill="1" applyBorder="1" applyAlignment="1">
      <alignment vertical="center" wrapText="1"/>
    </xf>
    <xf numFmtId="3" fontId="11" fillId="11" borderId="71" xfId="0" applyNumberFormat="1" applyFont="1" applyFill="1" applyBorder="1" applyAlignment="1">
      <alignment vertical="center" wrapText="1"/>
    </xf>
    <xf numFmtId="3" fontId="35" fillId="11" borderId="68" xfId="0" applyNumberFormat="1" applyFont="1" applyFill="1" applyBorder="1" applyAlignment="1">
      <alignment vertical="center" wrapText="1"/>
    </xf>
    <xf numFmtId="3" fontId="11" fillId="11" borderId="68" xfId="0" applyNumberFormat="1" applyFont="1" applyFill="1" applyBorder="1" applyAlignment="1">
      <alignment vertical="center" wrapText="1"/>
    </xf>
    <xf numFmtId="3" fontId="35" fillId="11" borderId="53" xfId="0" applyNumberFormat="1" applyFont="1" applyFill="1" applyBorder="1" applyAlignment="1">
      <alignment vertical="center" wrapText="1"/>
    </xf>
    <xf numFmtId="187" fontId="35" fillId="0" borderId="29" xfId="2902" applyFont="1" applyBorder="1" applyAlignment="1" applyProtection="1">
      <alignment horizontal="center" vertical="center" wrapText="1"/>
      <protection/>
    </xf>
    <xf numFmtId="3" fontId="35" fillId="11" borderId="29" xfId="0" applyNumberFormat="1" applyFont="1" applyFill="1" applyBorder="1" applyAlignment="1">
      <alignment vertical="center" wrapText="1"/>
    </xf>
    <xf numFmtId="3" fontId="111" fillId="0" borderId="76" xfId="0" applyNumberFormat="1" applyFont="1" applyBorder="1" applyAlignment="1">
      <alignment vertical="center" wrapText="1"/>
    </xf>
    <xf numFmtId="3" fontId="111" fillId="0" borderId="87" xfId="0" applyNumberFormat="1" applyFont="1" applyBorder="1" applyAlignment="1">
      <alignment vertical="center" wrapText="1"/>
    </xf>
    <xf numFmtId="0" fontId="111" fillId="9" borderId="71" xfId="0" applyFont="1" applyFill="1" applyBorder="1" applyAlignment="1">
      <alignment horizontal="center" vertical="top" wrapText="1"/>
    </xf>
    <xf numFmtId="0" fontId="111" fillId="9" borderId="87" xfId="0" applyFont="1" applyFill="1" applyBorder="1" applyAlignment="1">
      <alignment horizontal="center" vertical="top" wrapText="1"/>
    </xf>
    <xf numFmtId="218" fontId="101" fillId="0" borderId="29" xfId="2902" applyNumberFormat="1" applyFont="1" applyBorder="1" applyAlignment="1" applyProtection="1">
      <alignment horizontal="center" vertical="center" wrapText="1"/>
      <protection/>
    </xf>
    <xf numFmtId="187" fontId="117" fillId="0" borderId="83" xfId="2902" applyFont="1" applyBorder="1" applyAlignment="1" applyProtection="1">
      <alignment horizontal="center" vertical="center" wrapText="1"/>
      <protection/>
    </xf>
    <xf numFmtId="187" fontId="35" fillId="0" borderId="31" xfId="2902" applyFont="1" applyBorder="1" applyAlignment="1" applyProtection="1">
      <alignment horizontal="center" vertical="center" wrapText="1"/>
      <protection/>
    </xf>
    <xf numFmtId="187" fontId="117" fillId="0" borderId="29" xfId="2902" applyFont="1" applyBorder="1" applyAlignment="1" applyProtection="1">
      <alignment horizontal="center" vertical="center" wrapText="1"/>
      <protection/>
    </xf>
    <xf numFmtId="187" fontId="1" fillId="0" borderId="110" xfId="2902" applyFont="1" applyBorder="1" applyAlignment="1" applyProtection="1">
      <alignment horizontal="center" vertical="center" wrapText="1"/>
      <protection/>
    </xf>
    <xf numFmtId="187" fontId="1" fillId="0" borderId="111" xfId="2902" applyFont="1" applyBorder="1" applyAlignment="1" applyProtection="1">
      <alignment horizontal="center" vertical="center" wrapText="1"/>
      <protection/>
    </xf>
    <xf numFmtId="218" fontId="3" fillId="11" borderId="29" xfId="2902" applyNumberFormat="1" applyFont="1" applyFill="1" applyBorder="1" applyAlignment="1" applyProtection="1">
      <alignment horizontal="center" vertical="center" wrapText="1"/>
      <protection/>
    </xf>
    <xf numFmtId="218" fontId="93" fillId="0" borderId="29" xfId="2902" applyNumberFormat="1" applyFont="1" applyBorder="1" applyAlignment="1" applyProtection="1">
      <alignment horizontal="center" vertical="center" wrapText="1"/>
      <protection/>
    </xf>
    <xf numFmtId="187" fontId="93" fillId="0" borderId="29" xfId="2902" applyFont="1" applyBorder="1" applyAlignment="1" applyProtection="1">
      <alignment horizontal="center" vertical="center" wrapText="1"/>
      <protection/>
    </xf>
    <xf numFmtId="187" fontId="1" fillId="0" borderId="94" xfId="2902" applyFont="1" applyBorder="1" applyAlignment="1" applyProtection="1">
      <alignment horizontal="center" vertical="center" wrapText="1"/>
      <protection/>
    </xf>
    <xf numFmtId="3" fontId="120" fillId="11" borderId="0" xfId="0" applyNumberFormat="1" applyFont="1" applyFill="1" applyAlignment="1">
      <alignment/>
    </xf>
    <xf numFmtId="0" fontId="4" fillId="11" borderId="0" xfId="0" applyFont="1" applyFill="1" applyAlignment="1">
      <alignment horizontal="right"/>
    </xf>
    <xf numFmtId="3" fontId="35" fillId="11" borderId="87" xfId="0" applyNumberFormat="1" applyFont="1" applyFill="1" applyBorder="1" applyAlignment="1">
      <alignment vertical="center" wrapText="1"/>
    </xf>
    <xf numFmtId="218" fontId="1" fillId="0" borderId="29" xfId="2902" applyNumberFormat="1" applyFont="1" applyBorder="1" applyAlignment="1" applyProtection="1">
      <alignment horizontal="center" vertical="center" wrapText="1"/>
      <protection/>
    </xf>
    <xf numFmtId="3" fontId="2" fillId="11" borderId="29" xfId="0" applyNumberFormat="1" applyFont="1" applyFill="1" applyBorder="1" applyAlignment="1">
      <alignment vertical="center" wrapText="1"/>
    </xf>
    <xf numFmtId="187" fontId="10" fillId="0" borderId="72" xfId="2902" applyFont="1" applyBorder="1" applyAlignment="1" applyProtection="1">
      <alignment horizontal="center" vertical="center" wrapText="1"/>
      <protection/>
    </xf>
    <xf numFmtId="3" fontId="5" fillId="11" borderId="71" xfId="0" applyNumberFormat="1" applyFont="1" applyFill="1" applyBorder="1" applyAlignment="1">
      <alignment vertical="center" wrapText="1"/>
    </xf>
    <xf numFmtId="3" fontId="5" fillId="11" borderId="81" xfId="0" applyNumberFormat="1" applyFont="1" applyFill="1" applyBorder="1" applyAlignment="1">
      <alignment vertical="center" wrapText="1"/>
    </xf>
    <xf numFmtId="3" fontId="5" fillId="0" borderId="29" xfId="0" applyNumberFormat="1" applyFont="1" applyFill="1" applyBorder="1" applyAlignment="1">
      <alignment vertical="center" wrapText="1"/>
    </xf>
    <xf numFmtId="3" fontId="5" fillId="0" borderId="33" xfId="0" applyNumberFormat="1" applyFont="1" applyFill="1" applyBorder="1" applyAlignment="1">
      <alignment vertical="center" wrapText="1"/>
    </xf>
    <xf numFmtId="3" fontId="5" fillId="11" borderId="89" xfId="0" applyNumberFormat="1" applyFont="1" applyFill="1" applyBorder="1" applyAlignment="1">
      <alignment vertical="center" wrapText="1"/>
    </xf>
    <xf numFmtId="3" fontId="4" fillId="0" borderId="87" xfId="0" applyNumberFormat="1" applyFont="1" applyBorder="1" applyAlignment="1">
      <alignment vertical="center" wrapText="1"/>
    </xf>
    <xf numFmtId="218" fontId="1" fillId="0" borderId="81" xfId="2902" applyNumberFormat="1" applyFont="1" applyBorder="1" applyAlignment="1" applyProtection="1">
      <alignment horizontal="center" vertical="center" wrapText="1"/>
      <protection/>
    </xf>
    <xf numFmtId="3" fontId="5" fillId="11" borderId="0" xfId="0" applyNumberFormat="1" applyFont="1" applyFill="1" applyBorder="1" applyAlignment="1">
      <alignment vertical="center" wrapText="1"/>
    </xf>
    <xf numFmtId="187" fontId="9" fillId="0" borderId="29" xfId="2902" applyFont="1" applyBorder="1" applyAlignment="1" applyProtection="1">
      <alignment horizontal="center" vertical="center" wrapText="1"/>
      <protection/>
    </xf>
    <xf numFmtId="3" fontId="5" fillId="11" borderId="31" xfId="0" applyNumberFormat="1" applyFont="1" applyFill="1" applyBorder="1" applyAlignment="1">
      <alignment vertical="center" wrapText="1"/>
    </xf>
    <xf numFmtId="3" fontId="2" fillId="11" borderId="31" xfId="0" applyNumberFormat="1" applyFont="1" applyFill="1" applyBorder="1" applyAlignment="1">
      <alignment vertical="center" wrapText="1"/>
    </xf>
    <xf numFmtId="3" fontId="2" fillId="11" borderId="112" xfId="0" applyNumberFormat="1" applyFont="1" applyFill="1" applyBorder="1" applyAlignment="1">
      <alignment vertical="center" wrapText="1"/>
    </xf>
    <xf numFmtId="0" fontId="95" fillId="0" borderId="78" xfId="0" applyFont="1" applyBorder="1" applyAlignment="1" applyProtection="1">
      <alignment vertical="center" wrapText="1"/>
      <protection locked="0"/>
    </xf>
    <xf numFmtId="3" fontId="95" fillId="0" borderId="71" xfId="0" applyNumberFormat="1" applyFont="1" applyFill="1" applyBorder="1" applyAlignment="1">
      <alignment vertical="center" wrapText="1"/>
    </xf>
    <xf numFmtId="3" fontId="3" fillId="0" borderId="71" xfId="0" applyNumberFormat="1" applyFont="1" applyFill="1" applyBorder="1" applyAlignment="1">
      <alignment vertical="center" wrapText="1"/>
    </xf>
    <xf numFmtId="187" fontId="70" fillId="0" borderId="62" xfId="2902" applyFont="1" applyBorder="1" applyAlignment="1" applyProtection="1">
      <alignment horizontal="center" vertical="center" wrapText="1"/>
      <protection/>
    </xf>
    <xf numFmtId="187" fontId="2" fillId="0" borderId="110" xfId="2902" applyFont="1" applyBorder="1" applyAlignment="1" applyProtection="1">
      <alignment horizontal="center" vertical="center" wrapText="1"/>
      <protection/>
    </xf>
    <xf numFmtId="218" fontId="2" fillId="0" borderId="110" xfId="2902" applyNumberFormat="1" applyFont="1" applyBorder="1" applyAlignment="1" applyProtection="1">
      <alignment horizontal="center" vertical="center" wrapText="1"/>
      <protection/>
    </xf>
    <xf numFmtId="187" fontId="2" fillId="0" borderId="104" xfId="2902" applyFont="1" applyBorder="1" applyAlignment="1" applyProtection="1">
      <alignment horizontal="center" vertical="center" wrapText="1"/>
      <protection/>
    </xf>
    <xf numFmtId="1" fontId="3" fillId="0" borderId="76" xfId="0" applyNumberFormat="1" applyFont="1" applyBorder="1" applyAlignment="1">
      <alignment vertical="center" wrapText="1"/>
    </xf>
    <xf numFmtId="3" fontId="3" fillId="0" borderId="76" xfId="0" applyNumberFormat="1" applyFont="1" applyBorder="1" applyAlignment="1">
      <alignment vertical="center" wrapText="1"/>
    </xf>
    <xf numFmtId="187" fontId="2" fillId="0" borderId="111" xfId="2902" applyFont="1" applyBorder="1" applyAlignment="1" applyProtection="1">
      <alignment horizontal="center" vertical="center" wrapText="1"/>
      <protection/>
    </xf>
    <xf numFmtId="187" fontId="2" fillId="0" borderId="91" xfId="2902" applyFont="1" applyBorder="1" applyAlignment="1" applyProtection="1">
      <alignment horizontal="center" vertical="center" wrapText="1"/>
      <protection/>
    </xf>
    <xf numFmtId="3" fontId="3" fillId="0" borderId="89" xfId="0" applyNumberFormat="1" applyFont="1" applyBorder="1" applyAlignment="1">
      <alignment vertical="center" wrapText="1"/>
    </xf>
    <xf numFmtId="3" fontId="2" fillId="11" borderId="89" xfId="0" applyNumberFormat="1" applyFont="1" applyFill="1" applyBorder="1" applyAlignment="1">
      <alignment vertical="center" wrapText="1"/>
    </xf>
    <xf numFmtId="3" fontId="71" fillId="11" borderId="110" xfId="0" applyNumberFormat="1" applyFont="1" applyFill="1" applyBorder="1" applyAlignment="1">
      <alignment vertical="center" wrapText="1"/>
    </xf>
    <xf numFmtId="3" fontId="67" fillId="11" borderId="110" xfId="0" applyNumberFormat="1" applyFont="1" applyFill="1" applyBorder="1" applyAlignment="1">
      <alignment vertical="center" wrapText="1"/>
    </xf>
    <xf numFmtId="187" fontId="2" fillId="0" borderId="95" xfId="2902" applyFont="1" applyBorder="1" applyAlignment="1" applyProtection="1">
      <alignment horizontal="center" vertical="center" wrapText="1"/>
      <protection/>
    </xf>
    <xf numFmtId="3" fontId="70" fillId="0" borderId="76" xfId="0" applyNumberFormat="1" applyFont="1" applyBorder="1" applyAlignment="1">
      <alignment vertical="center" wrapText="1"/>
    </xf>
    <xf numFmtId="218" fontId="2" fillId="0" borderId="111" xfId="2902" applyNumberFormat="1" applyFont="1" applyBorder="1" applyAlignment="1" applyProtection="1">
      <alignment horizontal="center" vertical="center" wrapText="1"/>
      <protection/>
    </xf>
    <xf numFmtId="3" fontId="2" fillId="11" borderId="68" xfId="0" applyNumberFormat="1" applyFont="1" applyFill="1" applyBorder="1" applyAlignment="1">
      <alignment vertical="center" wrapText="1"/>
    </xf>
    <xf numFmtId="187" fontId="2" fillId="0" borderId="33" xfId="2902" applyFont="1" applyBorder="1" applyAlignment="1" applyProtection="1">
      <alignment horizontal="center" vertical="center" wrapText="1"/>
      <protection/>
    </xf>
    <xf numFmtId="218" fontId="2" fillId="0" borderId="33" xfId="2902" applyNumberFormat="1" applyFont="1" applyBorder="1" applyAlignment="1" applyProtection="1">
      <alignment horizontal="center" vertical="center" wrapText="1"/>
      <protection/>
    </xf>
    <xf numFmtId="187" fontId="2" fillId="0" borderId="92" xfId="2902" applyFont="1" applyBorder="1" applyAlignment="1" applyProtection="1">
      <alignment horizontal="center" vertical="center" wrapText="1"/>
      <protection/>
    </xf>
    <xf numFmtId="3" fontId="2" fillId="11" borderId="62" xfId="0" applyNumberFormat="1" applyFont="1" applyFill="1" applyBorder="1" applyAlignment="1">
      <alignment vertical="center" wrapText="1"/>
    </xf>
    <xf numFmtId="187" fontId="2" fillId="0" borderId="112" xfId="2902" applyFont="1" applyBorder="1" applyAlignment="1" applyProtection="1">
      <alignment horizontal="center" vertical="center" wrapText="1"/>
      <protection/>
    </xf>
    <xf numFmtId="218" fontId="2" fillId="0" borderId="112" xfId="2902" applyNumberFormat="1" applyFont="1" applyBorder="1" applyAlignment="1" applyProtection="1">
      <alignment horizontal="center" vertical="center" wrapText="1"/>
      <protection/>
    </xf>
    <xf numFmtId="187" fontId="2" fillId="0" borderId="86" xfId="2902" applyFont="1" applyBorder="1" applyAlignment="1" applyProtection="1">
      <alignment horizontal="center" vertical="center" wrapText="1"/>
      <protection/>
    </xf>
    <xf numFmtId="218" fontId="2" fillId="0" borderId="86" xfId="2902" applyNumberFormat="1" applyFont="1" applyBorder="1" applyAlignment="1" applyProtection="1">
      <alignment horizontal="center" vertical="center" wrapText="1"/>
      <protection/>
    </xf>
    <xf numFmtId="0" fontId="68" fillId="11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187" fontId="13" fillId="0" borderId="29" xfId="2902" applyFont="1" applyBorder="1" applyAlignment="1" applyProtection="1">
      <alignment horizontal="center" vertical="center" wrapText="1"/>
      <protection/>
    </xf>
    <xf numFmtId="0" fontId="90" fillId="0" borderId="74" xfId="0" applyFont="1" applyBorder="1" applyAlignment="1" applyProtection="1">
      <alignment vertical="center" wrapText="1"/>
      <protection locked="0"/>
    </xf>
    <xf numFmtId="3" fontId="89" fillId="11" borderId="29" xfId="0" applyNumberFormat="1" applyFont="1" applyFill="1" applyBorder="1" applyAlignment="1">
      <alignment vertical="center" wrapText="1"/>
    </xf>
    <xf numFmtId="187" fontId="13" fillId="0" borderId="90" xfId="2902" applyFont="1" applyBorder="1" applyAlignment="1" applyProtection="1">
      <alignment horizontal="center" vertical="center" wrapText="1"/>
      <protection/>
    </xf>
    <xf numFmtId="0" fontId="89" fillId="0" borderId="73" xfId="0" applyFont="1" applyBorder="1" applyAlignment="1" applyProtection="1">
      <alignment vertical="center" wrapText="1"/>
      <protection locked="0"/>
    </xf>
    <xf numFmtId="0" fontId="89" fillId="0" borderId="74" xfId="0" applyFont="1" applyBorder="1" applyAlignment="1" applyProtection="1">
      <alignment vertical="center" wrapText="1"/>
      <protection locked="0"/>
    </xf>
    <xf numFmtId="3" fontId="89" fillId="0" borderId="0" xfId="0" applyNumberFormat="1" applyFont="1" applyAlignment="1">
      <alignment/>
    </xf>
    <xf numFmtId="0" fontId="89" fillId="0" borderId="0" xfId="0" applyFont="1" applyAlignment="1">
      <alignment/>
    </xf>
    <xf numFmtId="3" fontId="89" fillId="11" borderId="31" xfId="0" applyNumberFormat="1" applyFont="1" applyFill="1" applyBorder="1" applyAlignment="1">
      <alignment vertical="center" wrapText="1"/>
    </xf>
    <xf numFmtId="187" fontId="90" fillId="0" borderId="29" xfId="2902" applyFont="1" applyBorder="1" applyAlignment="1" applyProtection="1">
      <alignment horizontal="center" vertical="center" wrapText="1"/>
      <protection/>
    </xf>
    <xf numFmtId="218" fontId="13" fillId="0" borderId="29" xfId="2902" applyNumberFormat="1" applyFont="1" applyBorder="1" applyAlignment="1" applyProtection="1">
      <alignment horizontal="center" vertical="center" wrapText="1"/>
      <protection/>
    </xf>
    <xf numFmtId="3" fontId="33" fillId="11" borderId="87" xfId="0" applyNumberFormat="1" applyFont="1" applyFill="1" applyBorder="1" applyAlignment="1">
      <alignment vertical="center" wrapText="1"/>
    </xf>
    <xf numFmtId="3" fontId="33" fillId="11" borderId="71" xfId="0" applyNumberFormat="1" applyFont="1" applyFill="1" applyBorder="1" applyAlignment="1">
      <alignment vertical="center" wrapText="1"/>
    </xf>
    <xf numFmtId="3" fontId="89" fillId="0" borderId="29" xfId="0" applyNumberFormat="1" applyFont="1" applyFill="1" applyBorder="1" applyAlignment="1">
      <alignment vertical="center" wrapText="1"/>
    </xf>
    <xf numFmtId="218" fontId="89" fillId="11" borderId="29" xfId="0" applyNumberFormat="1" applyFont="1" applyFill="1" applyBorder="1" applyAlignment="1">
      <alignment vertical="center" wrapText="1"/>
    </xf>
    <xf numFmtId="218" fontId="90" fillId="0" borderId="29" xfId="2902" applyNumberFormat="1" applyFont="1" applyBorder="1" applyAlignment="1" applyProtection="1">
      <alignment horizontal="center" vertical="center" wrapText="1"/>
      <protection/>
    </xf>
    <xf numFmtId="3" fontId="89" fillId="11" borderId="68" xfId="0" applyNumberFormat="1" applyFont="1" applyFill="1" applyBorder="1" applyAlignment="1">
      <alignment vertical="center" wrapText="1"/>
    </xf>
    <xf numFmtId="187" fontId="72" fillId="0" borderId="90" xfId="2902" applyFont="1" applyBorder="1" applyAlignment="1" applyProtection="1">
      <alignment horizontal="center" vertical="center" wrapText="1"/>
      <protection/>
    </xf>
    <xf numFmtId="187" fontId="79" fillId="0" borderId="29" xfId="2902" applyFont="1" applyBorder="1" applyAlignment="1" applyProtection="1">
      <alignment horizontal="center" vertical="center" wrapText="1"/>
      <protection/>
    </xf>
    <xf numFmtId="187" fontId="97" fillId="0" borderId="29" xfId="2902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/>
    </xf>
    <xf numFmtId="187" fontId="79" fillId="0" borderId="90" xfId="2902" applyFont="1" applyBorder="1" applyAlignment="1" applyProtection="1">
      <alignment horizontal="center" vertical="center" wrapText="1"/>
      <protection/>
    </xf>
    <xf numFmtId="218" fontId="97" fillId="11" borderId="29" xfId="2902" applyNumberFormat="1" applyFont="1" applyFill="1" applyBorder="1" applyAlignment="1" applyProtection="1">
      <alignment horizontal="center" vertical="center" wrapText="1"/>
      <protection/>
    </xf>
    <xf numFmtId="187" fontId="111" fillId="0" borderId="29" xfId="2902" applyFont="1" applyBorder="1" applyAlignment="1" applyProtection="1">
      <alignment horizontal="center" vertical="center" wrapText="1"/>
      <protection/>
    </xf>
    <xf numFmtId="0" fontId="89" fillId="0" borderId="73" xfId="0" applyFont="1" applyBorder="1" applyAlignment="1" applyProtection="1">
      <alignment horizontal="left" vertical="center" wrapText="1" indent="2"/>
      <protection locked="0"/>
    </xf>
    <xf numFmtId="187" fontId="79" fillId="0" borderId="31" xfId="2902" applyFont="1" applyBorder="1" applyAlignment="1" applyProtection="1">
      <alignment horizontal="center" vertical="center" wrapText="1"/>
      <protection/>
    </xf>
    <xf numFmtId="187" fontId="70" fillId="0" borderId="29" xfId="2902" applyFont="1" applyBorder="1" applyAlignment="1" applyProtection="1">
      <alignment horizontal="center" vertical="center" wrapText="1"/>
      <protection/>
    </xf>
    <xf numFmtId="187" fontId="70" fillId="0" borderId="31" xfId="2902" applyFont="1" applyBorder="1" applyAlignment="1" applyProtection="1">
      <alignment horizontal="center" vertical="center" wrapText="1"/>
      <protection/>
    </xf>
    <xf numFmtId="187" fontId="71" fillId="0" borderId="29" xfId="2902" applyFont="1" applyBorder="1" applyAlignment="1" applyProtection="1">
      <alignment horizontal="center" vertical="center" wrapText="1"/>
      <protection/>
    </xf>
    <xf numFmtId="187" fontId="71" fillId="0" borderId="31" xfId="2902" applyFont="1" applyBorder="1" applyAlignment="1" applyProtection="1">
      <alignment horizontal="center" vertical="center" wrapText="1"/>
      <protection/>
    </xf>
    <xf numFmtId="3" fontId="72" fillId="0" borderId="0" xfId="0" applyNumberFormat="1" applyFont="1" applyAlignment="1">
      <alignment/>
    </xf>
    <xf numFmtId="3" fontId="7" fillId="11" borderId="68" xfId="0" applyNumberFormat="1" applyFont="1" applyFill="1" applyBorder="1" applyAlignment="1">
      <alignment vertical="center" wrapText="1"/>
    </xf>
    <xf numFmtId="3" fontId="69" fillId="11" borderId="33" xfId="0" applyNumberFormat="1" applyFont="1" applyFill="1" applyBorder="1" applyAlignment="1">
      <alignment vertical="center" wrapText="1"/>
    </xf>
    <xf numFmtId="3" fontId="7" fillId="11" borderId="33" xfId="0" applyNumberFormat="1" applyFont="1" applyFill="1" applyBorder="1" applyAlignment="1">
      <alignment vertical="center" wrapText="1"/>
    </xf>
    <xf numFmtId="3" fontId="7" fillId="11" borderId="92" xfId="0" applyNumberFormat="1" applyFont="1" applyFill="1" applyBorder="1" applyAlignment="1">
      <alignment vertical="center" wrapText="1"/>
    </xf>
    <xf numFmtId="3" fontId="68" fillId="0" borderId="76" xfId="0" applyNumberFormat="1" applyFont="1" applyBorder="1" applyAlignment="1">
      <alignment vertical="center" wrapText="1"/>
    </xf>
    <xf numFmtId="3" fontId="68" fillId="0" borderId="91" xfId="0" applyNumberFormat="1" applyFont="1" applyBorder="1" applyAlignment="1">
      <alignment vertical="center" wrapText="1"/>
    </xf>
    <xf numFmtId="3" fontId="7" fillId="11" borderId="29" xfId="0" applyNumberFormat="1" applyFont="1" applyFill="1" applyBorder="1" applyAlignment="1">
      <alignment vertical="center" wrapText="1"/>
    </xf>
    <xf numFmtId="3" fontId="69" fillId="11" borderId="31" xfId="0" applyNumberFormat="1" applyFont="1" applyFill="1" applyBorder="1" applyAlignment="1">
      <alignment vertical="center" wrapText="1"/>
    </xf>
    <xf numFmtId="3" fontId="7" fillId="11" borderId="31" xfId="0" applyNumberFormat="1" applyFont="1" applyFill="1" applyBorder="1" applyAlignment="1">
      <alignment vertical="center" wrapText="1"/>
    </xf>
    <xf numFmtId="3" fontId="7" fillId="11" borderId="90" xfId="0" applyNumberFormat="1" applyFont="1" applyFill="1" applyBorder="1" applyAlignment="1">
      <alignment vertical="center" wrapText="1"/>
    </xf>
    <xf numFmtId="3" fontId="69" fillId="11" borderId="29" xfId="0" applyNumberFormat="1" applyFont="1" applyFill="1" applyBorder="1" applyAlignment="1">
      <alignment vertical="center" wrapText="1"/>
    </xf>
    <xf numFmtId="3" fontId="69" fillId="11" borderId="92" xfId="0" applyNumberFormat="1" applyFont="1" applyFill="1" applyBorder="1" applyAlignment="1">
      <alignment vertical="center" wrapText="1"/>
    </xf>
    <xf numFmtId="3" fontId="7" fillId="11" borderId="71" xfId="0" applyNumberFormat="1" applyFont="1" applyFill="1" applyBorder="1" applyAlignment="1">
      <alignment vertical="center" wrapText="1"/>
    </xf>
    <xf numFmtId="3" fontId="69" fillId="11" borderId="112" xfId="0" applyNumberFormat="1" applyFont="1" applyFill="1" applyBorder="1" applyAlignment="1">
      <alignment vertical="center" wrapText="1"/>
    </xf>
    <xf numFmtId="3" fontId="7" fillId="11" borderId="112" xfId="0" applyNumberFormat="1" applyFont="1" applyFill="1" applyBorder="1" applyAlignment="1">
      <alignment vertical="center" wrapText="1"/>
    </xf>
    <xf numFmtId="3" fontId="7" fillId="11" borderId="93" xfId="0" applyNumberFormat="1" applyFont="1" applyFill="1" applyBorder="1" applyAlignment="1">
      <alignment vertical="center" wrapText="1"/>
    </xf>
    <xf numFmtId="2" fontId="89" fillId="0" borderId="0" xfId="0" applyNumberFormat="1" applyFont="1" applyAlignment="1">
      <alignment/>
    </xf>
    <xf numFmtId="3" fontId="7" fillId="11" borderId="81" xfId="0" applyNumberFormat="1" applyFont="1" applyFill="1" applyBorder="1" applyAlignment="1">
      <alignment vertical="center" wrapText="1"/>
    </xf>
    <xf numFmtId="3" fontId="69" fillId="11" borderId="81" xfId="0" applyNumberFormat="1" applyFont="1" applyFill="1" applyBorder="1" applyAlignment="1">
      <alignment vertical="center" wrapText="1"/>
    </xf>
    <xf numFmtId="3" fontId="7" fillId="11" borderId="94" xfId="0" applyNumberFormat="1" applyFont="1" applyFill="1" applyBorder="1" applyAlignment="1">
      <alignment vertical="center" wrapText="1"/>
    </xf>
    <xf numFmtId="3" fontId="69" fillId="11" borderId="90" xfId="0" applyNumberFormat="1" applyFont="1" applyFill="1" applyBorder="1" applyAlignment="1">
      <alignment vertical="center" wrapText="1"/>
    </xf>
    <xf numFmtId="3" fontId="7" fillId="11" borderId="62" xfId="0" applyNumberFormat="1" applyFont="1" applyFill="1" applyBorder="1" applyAlignment="1">
      <alignment vertical="center" wrapText="1"/>
    </xf>
    <xf numFmtId="3" fontId="69" fillId="11" borderId="62" xfId="0" applyNumberFormat="1" applyFont="1" applyFill="1" applyBorder="1" applyAlignment="1">
      <alignment vertical="center" wrapText="1"/>
    </xf>
    <xf numFmtId="3" fontId="7" fillId="0" borderId="29" xfId="0" applyNumberFormat="1" applyFont="1" applyFill="1" applyBorder="1" applyAlignment="1">
      <alignment vertical="center" wrapText="1"/>
    </xf>
    <xf numFmtId="3" fontId="69" fillId="0" borderId="33" xfId="0" applyNumberFormat="1" applyFont="1" applyFill="1" applyBorder="1" applyAlignment="1">
      <alignment vertical="center" wrapText="1"/>
    </xf>
    <xf numFmtId="3" fontId="7" fillId="0" borderId="33" xfId="0" applyNumberFormat="1" applyFont="1" applyFill="1" applyBorder="1" applyAlignment="1">
      <alignment vertical="center" wrapText="1"/>
    </xf>
    <xf numFmtId="3" fontId="7" fillId="0" borderId="92" xfId="0" applyNumberFormat="1" applyFont="1" applyFill="1" applyBorder="1" applyAlignment="1">
      <alignment vertical="center" wrapText="1"/>
    </xf>
    <xf numFmtId="187" fontId="97" fillId="0" borderId="62" xfId="2902" applyFont="1" applyBorder="1" applyAlignment="1" applyProtection="1">
      <alignment horizontal="center" vertical="center" wrapText="1"/>
      <protection/>
    </xf>
    <xf numFmtId="3" fontId="7" fillId="11" borderId="89" xfId="0" applyNumberFormat="1" applyFont="1" applyFill="1" applyBorder="1" applyAlignment="1">
      <alignment vertical="center" wrapText="1"/>
    </xf>
    <xf numFmtId="3" fontId="69" fillId="11" borderId="110" xfId="0" applyNumberFormat="1" applyFont="1" applyFill="1" applyBorder="1" applyAlignment="1">
      <alignment vertical="center" wrapText="1"/>
    </xf>
    <xf numFmtId="3" fontId="7" fillId="11" borderId="110" xfId="0" applyNumberFormat="1" applyFont="1" applyFill="1" applyBorder="1" applyAlignment="1">
      <alignment vertical="center" wrapText="1"/>
    </xf>
    <xf numFmtId="3" fontId="68" fillId="0" borderId="87" xfId="0" applyNumberFormat="1" applyFont="1" applyBorder="1" applyAlignment="1">
      <alignment vertical="center" wrapText="1"/>
    </xf>
    <xf numFmtId="3" fontId="68" fillId="0" borderId="111" xfId="0" applyNumberFormat="1" applyFont="1" applyBorder="1" applyAlignment="1">
      <alignment vertical="center" wrapText="1"/>
    </xf>
    <xf numFmtId="0" fontId="2" fillId="0" borderId="76" xfId="0" applyFont="1" applyBorder="1" applyAlignment="1">
      <alignment/>
    </xf>
    <xf numFmtId="218" fontId="79" fillId="0" borderId="81" xfId="2902" applyNumberFormat="1" applyFont="1" applyBorder="1" applyAlignment="1" applyProtection="1">
      <alignment horizontal="center" vertical="center" wrapText="1"/>
      <protection/>
    </xf>
    <xf numFmtId="187" fontId="79" fillId="0" borderId="81" xfId="2902" applyFont="1" applyBorder="1" applyAlignment="1" applyProtection="1">
      <alignment horizontal="center" vertical="center" wrapText="1"/>
      <protection/>
    </xf>
    <xf numFmtId="0" fontId="1" fillId="0" borderId="81" xfId="0" applyFont="1" applyBorder="1" applyAlignment="1">
      <alignment/>
    </xf>
    <xf numFmtId="218" fontId="79" fillId="0" borderId="29" xfId="2902" applyNumberFormat="1" applyFont="1" applyBorder="1" applyAlignment="1" applyProtection="1">
      <alignment horizontal="center" vertical="center" wrapText="1"/>
      <protection/>
    </xf>
    <xf numFmtId="187" fontId="79" fillId="0" borderId="62" xfId="2902" applyFont="1" applyBorder="1" applyAlignment="1" applyProtection="1">
      <alignment horizontal="center" vertical="center" wrapText="1"/>
      <protection/>
    </xf>
    <xf numFmtId="3" fontId="7" fillId="11" borderId="0" xfId="0" applyNumberFormat="1" applyFont="1" applyFill="1" applyBorder="1" applyAlignment="1">
      <alignment vertical="center" wrapText="1"/>
    </xf>
    <xf numFmtId="3" fontId="69" fillId="11" borderId="0" xfId="0" applyNumberFormat="1" applyFont="1" applyFill="1" applyBorder="1" applyAlignment="1">
      <alignment vertical="center" wrapText="1"/>
    </xf>
    <xf numFmtId="3" fontId="7" fillId="11" borderId="0" xfId="0" applyNumberFormat="1" applyFont="1" applyFill="1" applyAlignment="1">
      <alignment/>
    </xf>
    <xf numFmtId="3" fontId="69" fillId="11" borderId="0" xfId="0" applyNumberFormat="1" applyFont="1" applyFill="1" applyAlignment="1">
      <alignment/>
    </xf>
    <xf numFmtId="3" fontId="68" fillId="9" borderId="92" xfId="0" applyNumberFormat="1" applyFont="1" applyFill="1" applyBorder="1" applyAlignment="1">
      <alignment horizontal="center" vertical="top" wrapText="1"/>
    </xf>
    <xf numFmtId="3" fontId="68" fillId="9" borderId="95" xfId="0" applyNumberFormat="1" applyFont="1" applyFill="1" applyBorder="1" applyAlignment="1">
      <alignment horizontal="center" vertical="top" wrapText="1"/>
    </xf>
    <xf numFmtId="3" fontId="7" fillId="11" borderId="29" xfId="0" applyNumberFormat="1" applyFont="1" applyFill="1" applyBorder="1" applyAlignment="1">
      <alignment/>
    </xf>
    <xf numFmtId="1" fontId="7" fillId="11" borderId="0" xfId="0" applyNumberFormat="1" applyFont="1" applyFill="1" applyAlignment="1">
      <alignment/>
    </xf>
    <xf numFmtId="1" fontId="69" fillId="11" borderId="0" xfId="0" applyNumberFormat="1" applyFont="1" applyFill="1" applyAlignment="1">
      <alignment/>
    </xf>
    <xf numFmtId="0" fontId="7" fillId="11" borderId="0" xfId="0" applyFont="1" applyFill="1" applyAlignment="1">
      <alignment/>
    </xf>
    <xf numFmtId="0" fontId="69" fillId="11" borderId="0" xfId="0" applyFont="1" applyFill="1" applyAlignment="1">
      <alignment/>
    </xf>
    <xf numFmtId="0" fontId="7" fillId="0" borderId="0" xfId="0" applyFont="1" applyAlignment="1">
      <alignment/>
    </xf>
    <xf numFmtId="0" fontId="69" fillId="0" borderId="0" xfId="0" applyFont="1" applyAlignment="1">
      <alignment/>
    </xf>
    <xf numFmtId="3" fontId="7" fillId="0" borderId="0" xfId="0" applyNumberFormat="1" applyFont="1" applyAlignment="1">
      <alignment/>
    </xf>
    <xf numFmtId="218" fontId="3" fillId="0" borderId="86" xfId="2902" applyNumberFormat="1" applyFont="1" applyBorder="1" applyAlignment="1" applyProtection="1">
      <alignment horizontal="center" vertical="center" wrapText="1"/>
      <protection/>
    </xf>
    <xf numFmtId="3" fontId="2" fillId="11" borderId="33" xfId="0" applyNumberFormat="1" applyFont="1" applyFill="1" applyBorder="1" applyAlignment="1">
      <alignment vertical="center" wrapText="1"/>
    </xf>
    <xf numFmtId="187" fontId="3" fillId="0" borderId="86" xfId="2902" applyFont="1" applyBorder="1" applyAlignment="1" applyProtection="1">
      <alignment horizontal="center" vertical="center" wrapText="1"/>
      <protection/>
    </xf>
    <xf numFmtId="187" fontId="3" fillId="0" borderId="91" xfId="2902" applyFont="1" applyBorder="1" applyAlignment="1" applyProtection="1">
      <alignment horizontal="center" vertical="center" wrapText="1"/>
      <protection/>
    </xf>
    <xf numFmtId="3" fontId="3" fillId="0" borderId="62" xfId="0" applyNumberFormat="1" applyFont="1" applyBorder="1" applyAlignment="1">
      <alignment vertical="center" wrapText="1"/>
    </xf>
    <xf numFmtId="218" fontId="67" fillId="0" borderId="62" xfId="2902" applyNumberFormat="1" applyFont="1" applyBorder="1" applyAlignment="1" applyProtection="1">
      <alignment horizontal="center" vertical="center" wrapText="1"/>
      <protection/>
    </xf>
    <xf numFmtId="187" fontId="2" fillId="0" borderId="93" xfId="2902" applyFont="1" applyBorder="1" applyAlignment="1" applyProtection="1">
      <alignment horizontal="center" vertical="center" wrapText="1"/>
      <protection/>
    </xf>
    <xf numFmtId="3" fontId="96" fillId="0" borderId="76" xfId="0" applyNumberFormat="1" applyFont="1" applyBorder="1" applyAlignment="1">
      <alignment vertical="center" wrapText="1"/>
    </xf>
    <xf numFmtId="0" fontId="69" fillId="9" borderId="112" xfId="0" applyFont="1" applyFill="1" applyBorder="1" applyAlignment="1">
      <alignment horizontal="center" vertical="top" wrapText="1"/>
    </xf>
    <xf numFmtId="0" fontId="79" fillId="9" borderId="89" xfId="0" applyFont="1" applyFill="1" applyBorder="1" applyAlignment="1">
      <alignment horizontal="center" vertical="top" wrapText="1"/>
    </xf>
    <xf numFmtId="0" fontId="1" fillId="9" borderId="89" xfId="0" applyFont="1" applyFill="1" applyBorder="1" applyAlignment="1">
      <alignment horizontal="center" vertical="top" wrapText="1"/>
    </xf>
    <xf numFmtId="0" fontId="84" fillId="9" borderId="110" xfId="0" applyFont="1" applyFill="1" applyBorder="1" applyAlignment="1">
      <alignment horizontal="center" vertical="top" wrapText="1"/>
    </xf>
    <xf numFmtId="0" fontId="79" fillId="9" borderId="110" xfId="0" applyFont="1" applyFill="1" applyBorder="1" applyAlignment="1">
      <alignment horizontal="center" vertical="top" wrapText="1"/>
    </xf>
    <xf numFmtId="3" fontId="1" fillId="9" borderId="89" xfId="0" applyNumberFormat="1" applyFont="1" applyFill="1" applyBorder="1" applyAlignment="1">
      <alignment horizontal="center" vertical="top" wrapText="1"/>
    </xf>
    <xf numFmtId="3" fontId="79" fillId="9" borderId="113" xfId="0" applyNumberFormat="1" applyFont="1" applyFill="1" applyBorder="1" applyAlignment="1">
      <alignment horizontal="center" vertical="top" wrapText="1"/>
    </xf>
    <xf numFmtId="3" fontId="1" fillId="9" borderId="95" xfId="0" applyNumberFormat="1" applyFont="1" applyFill="1" applyBorder="1" applyAlignment="1">
      <alignment horizontal="center" vertical="top" wrapText="1"/>
    </xf>
    <xf numFmtId="0" fontId="3" fillId="9" borderId="75" xfId="0" applyFont="1" applyFill="1" applyBorder="1" applyAlignment="1">
      <alignment vertical="center" wrapText="1"/>
    </xf>
    <xf numFmtId="3" fontId="3" fillId="9" borderId="76" xfId="0" applyNumberFormat="1" applyFont="1" applyFill="1" applyBorder="1" applyAlignment="1">
      <alignment vertical="center" wrapText="1"/>
    </xf>
    <xf numFmtId="3" fontId="35" fillId="9" borderId="76" xfId="0" applyNumberFormat="1" applyFont="1" applyFill="1" applyBorder="1" applyAlignment="1">
      <alignment vertical="center" wrapText="1"/>
    </xf>
    <xf numFmtId="3" fontId="3" fillId="9" borderId="91" xfId="0" applyNumberFormat="1" applyFont="1" applyFill="1" applyBorder="1" applyAlignment="1">
      <alignment vertical="center" wrapText="1"/>
    </xf>
    <xf numFmtId="0" fontId="4" fillId="9" borderId="80" xfId="0" applyFont="1" applyFill="1" applyBorder="1" applyAlignment="1">
      <alignment vertical="center" wrapText="1"/>
    </xf>
    <xf numFmtId="3" fontId="68" fillId="9" borderId="81" xfId="0" applyNumberFormat="1" applyFont="1" applyFill="1" applyBorder="1" applyAlignment="1">
      <alignment vertical="center" wrapText="1"/>
    </xf>
    <xf numFmtId="3" fontId="4" fillId="9" borderId="81" xfId="0" applyNumberFormat="1" applyFont="1" applyFill="1" applyBorder="1" applyAlignment="1">
      <alignment vertical="center" wrapText="1"/>
    </xf>
    <xf numFmtId="3" fontId="111" fillId="9" borderId="81" xfId="0" applyNumberFormat="1" applyFont="1" applyFill="1" applyBorder="1" applyAlignment="1">
      <alignment vertical="center" wrapText="1"/>
    </xf>
    <xf numFmtId="3" fontId="68" fillId="9" borderId="94" xfId="0" applyNumberFormat="1" applyFont="1" applyFill="1" applyBorder="1" applyAlignment="1">
      <alignment vertical="center" wrapText="1"/>
    </xf>
    <xf numFmtId="0" fontId="3" fillId="9" borderId="80" xfId="0" applyFont="1" applyFill="1" applyBorder="1" applyAlignment="1">
      <alignment vertical="center" wrapText="1"/>
    </xf>
    <xf numFmtId="3" fontId="70" fillId="9" borderId="81" xfId="0" applyNumberFormat="1" applyFont="1" applyFill="1" applyBorder="1" applyAlignment="1">
      <alignment vertical="center" wrapText="1"/>
    </xf>
    <xf numFmtId="3" fontId="3" fillId="9" borderId="81" xfId="0" applyNumberFormat="1" applyFont="1" applyFill="1" applyBorder="1" applyAlignment="1">
      <alignment vertical="center" wrapText="1"/>
    </xf>
    <xf numFmtId="3" fontId="96" fillId="9" borderId="81" xfId="0" applyNumberFormat="1" applyFont="1" applyFill="1" applyBorder="1" applyAlignment="1">
      <alignment vertical="center" wrapText="1"/>
    </xf>
    <xf numFmtId="3" fontId="70" fillId="9" borderId="114" xfId="0" applyNumberFormat="1" applyFont="1" applyFill="1" applyBorder="1" applyAlignment="1">
      <alignment vertical="center" wrapText="1"/>
    </xf>
    <xf numFmtId="3" fontId="3" fillId="9" borderId="94" xfId="0" applyNumberFormat="1" applyFont="1" applyFill="1" applyBorder="1" applyAlignment="1">
      <alignment vertical="center" wrapText="1"/>
    </xf>
    <xf numFmtId="0" fontId="4" fillId="9" borderId="75" xfId="0" applyFont="1" applyFill="1" applyBorder="1" applyAlignment="1">
      <alignment vertical="center" wrapText="1"/>
    </xf>
    <xf numFmtId="3" fontId="68" fillId="9" borderId="76" xfId="0" applyNumberFormat="1" applyFont="1" applyFill="1" applyBorder="1" applyAlignment="1">
      <alignment vertical="center" wrapText="1"/>
    </xf>
    <xf numFmtId="3" fontId="4" fillId="9" borderId="76" xfId="0" applyNumberFormat="1" applyFont="1" applyFill="1" applyBorder="1" applyAlignment="1">
      <alignment vertical="center" wrapText="1"/>
    </xf>
    <xf numFmtId="3" fontId="111" fillId="9" borderId="76" xfId="0" applyNumberFormat="1" applyFont="1" applyFill="1" applyBorder="1" applyAlignment="1">
      <alignment vertical="center" wrapText="1"/>
    </xf>
    <xf numFmtId="3" fontId="68" fillId="9" borderId="86" xfId="0" applyNumberFormat="1" applyFont="1" applyFill="1" applyBorder="1" applyAlignment="1">
      <alignment vertical="center" wrapText="1"/>
    </xf>
    <xf numFmtId="3" fontId="4" fillId="9" borderId="91" xfId="0" applyNumberFormat="1" applyFont="1" applyFill="1" applyBorder="1" applyAlignment="1">
      <alignment vertical="center" wrapText="1"/>
    </xf>
    <xf numFmtId="0" fontId="11" fillId="9" borderId="71" xfId="1425" applyFont="1" applyFill="1" applyBorder="1" applyAlignment="1">
      <alignment horizontal="center" vertical="center" wrapText="1"/>
      <protection/>
    </xf>
    <xf numFmtId="0" fontId="3" fillId="9" borderId="75" xfId="1425" applyFont="1" applyFill="1" applyBorder="1" applyAlignment="1">
      <alignment horizontal="center" vertical="center" wrapText="1"/>
      <protection/>
    </xf>
    <xf numFmtId="0" fontId="3" fillId="9" borderId="76" xfId="1425" applyFont="1" applyFill="1" applyBorder="1" applyAlignment="1">
      <alignment horizontal="center" vertical="center" wrapText="1"/>
      <protection/>
    </xf>
    <xf numFmtId="0" fontId="35" fillId="9" borderId="76" xfId="1425" applyFont="1" applyFill="1" applyBorder="1" applyAlignment="1">
      <alignment horizontal="center" vertical="center" wrapText="1"/>
      <protection/>
    </xf>
    <xf numFmtId="0" fontId="3" fillId="9" borderId="91" xfId="1425" applyFont="1" applyFill="1" applyBorder="1" applyAlignment="1">
      <alignment horizontal="center" vertical="center" wrapText="1"/>
      <protection/>
    </xf>
    <xf numFmtId="3" fontId="6" fillId="9" borderId="68" xfId="1425" applyNumberFormat="1" applyFont="1" applyFill="1" applyBorder="1" applyAlignment="1">
      <alignment vertical="center" wrapText="1"/>
      <protection/>
    </xf>
    <xf numFmtId="3" fontId="6" fillId="9" borderId="29" xfId="1425" applyNumberFormat="1" applyFont="1" applyFill="1" applyBorder="1" applyAlignment="1">
      <alignment vertical="center" wrapText="1"/>
      <protection/>
    </xf>
    <xf numFmtId="3" fontId="6" fillId="9" borderId="62" xfId="1425" applyNumberFormat="1" applyFont="1" applyFill="1" applyBorder="1" applyAlignment="1">
      <alignment vertical="center" wrapText="1"/>
      <protection/>
    </xf>
    <xf numFmtId="3" fontId="6" fillId="9" borderId="89" xfId="1425" applyNumberFormat="1" applyFont="1" applyFill="1" applyBorder="1" applyAlignment="1">
      <alignment vertical="center" wrapText="1"/>
      <protection/>
    </xf>
    <xf numFmtId="3" fontId="3" fillId="11" borderId="33" xfId="0" applyNumberFormat="1" applyFont="1" applyFill="1" applyBorder="1" applyAlignment="1">
      <alignment horizontal="center" vertical="center" wrapText="1"/>
    </xf>
    <xf numFmtId="3" fontId="72" fillId="0" borderId="68" xfId="0" applyNumberFormat="1" applyFont="1" applyBorder="1" applyAlignment="1">
      <alignment horizontal="center" vertical="center" wrapText="1"/>
    </xf>
    <xf numFmtId="3" fontId="70" fillId="14" borderId="115" xfId="0" applyNumberFormat="1" applyFont="1" applyFill="1" applyBorder="1" applyAlignment="1">
      <alignment horizontal="center" vertical="center" wrapText="1"/>
    </xf>
    <xf numFmtId="0" fontId="69" fillId="0" borderId="74" xfId="0" applyFont="1" applyBorder="1" applyAlignment="1">
      <alignment vertical="center" wrapText="1"/>
    </xf>
    <xf numFmtId="3" fontId="11" fillId="11" borderId="33" xfId="0" applyNumberFormat="1" applyFont="1" applyFill="1" applyBorder="1" applyAlignment="1">
      <alignment horizontal="center" vertical="center" wrapText="1"/>
    </xf>
    <xf numFmtId="3" fontId="110" fillId="0" borderId="68" xfId="0" applyNumberFormat="1" applyFont="1" applyBorder="1" applyAlignment="1">
      <alignment horizontal="center" vertical="center" wrapText="1"/>
    </xf>
    <xf numFmtId="3" fontId="96" fillId="14" borderId="115" xfId="0" applyNumberFormat="1" applyFont="1" applyFill="1" applyBorder="1" applyAlignment="1">
      <alignment horizontal="center" vertical="center" wrapText="1"/>
    </xf>
    <xf numFmtId="0" fontId="68" fillId="0" borderId="74" xfId="0" applyFont="1" applyBorder="1" applyAlignment="1">
      <alignment vertical="center" wrapText="1"/>
    </xf>
    <xf numFmtId="3" fontId="72" fillId="0" borderId="29" xfId="0" applyNumberFormat="1" applyFont="1" applyBorder="1" applyAlignment="1">
      <alignment horizontal="center" vertical="center" wrapText="1"/>
    </xf>
    <xf numFmtId="3" fontId="70" fillId="14" borderId="116" xfId="0" applyNumberFormat="1" applyFont="1" applyFill="1" applyBorder="1" applyAlignment="1">
      <alignment horizontal="center" vertical="center" wrapText="1"/>
    </xf>
    <xf numFmtId="3" fontId="71" fillId="14" borderId="115" xfId="0" applyNumberFormat="1" applyFont="1" applyFill="1" applyBorder="1" applyAlignment="1">
      <alignment horizontal="center" vertical="center" wrapText="1"/>
    </xf>
    <xf numFmtId="0" fontId="69" fillId="0" borderId="73" xfId="0" applyFont="1" applyBorder="1" applyAlignment="1">
      <alignment vertical="center" wrapText="1"/>
    </xf>
    <xf numFmtId="0" fontId="68" fillId="14" borderId="117" xfId="0" applyFont="1" applyFill="1" applyBorder="1" applyAlignment="1">
      <alignment horizontal="left" vertical="center" wrapText="1"/>
    </xf>
    <xf numFmtId="3" fontId="70" fillId="14" borderId="118" xfId="0" applyNumberFormat="1" applyFont="1" applyFill="1" applyBorder="1" applyAlignment="1">
      <alignment horizontal="center" vertical="center" wrapText="1"/>
    </xf>
    <xf numFmtId="3" fontId="70" fillId="14" borderId="119" xfId="0" applyNumberFormat="1" applyFont="1" applyFill="1" applyBorder="1" applyAlignment="1">
      <alignment horizontal="center" vertical="center" wrapText="1"/>
    </xf>
    <xf numFmtId="3" fontId="72" fillId="14" borderId="118" xfId="0" applyNumberFormat="1" applyFont="1" applyFill="1" applyBorder="1" applyAlignment="1">
      <alignment horizontal="center" vertical="center" wrapText="1"/>
    </xf>
    <xf numFmtId="3" fontId="72" fillId="14" borderId="120" xfId="0" applyNumberFormat="1" applyFont="1" applyFill="1" applyBorder="1" applyAlignment="1">
      <alignment horizontal="center" vertical="center" wrapText="1"/>
    </xf>
    <xf numFmtId="3" fontId="70" fillId="14" borderId="121" xfId="0" applyNumberFormat="1" applyFont="1" applyFill="1" applyBorder="1" applyAlignment="1">
      <alignment horizontal="center" vertical="center" wrapText="1"/>
    </xf>
    <xf numFmtId="0" fontId="68" fillId="11" borderId="74" xfId="0" applyFont="1" applyFill="1" applyBorder="1" applyAlignment="1">
      <alignment horizontal="left" vertical="center" wrapText="1"/>
    </xf>
    <xf numFmtId="3" fontId="70" fillId="11" borderId="29" xfId="0" applyNumberFormat="1" applyFont="1" applyFill="1" applyBorder="1" applyAlignment="1">
      <alignment horizontal="center" vertical="center" wrapText="1"/>
    </xf>
    <xf numFmtId="3" fontId="72" fillId="11" borderId="29" xfId="0" applyNumberFormat="1" applyFont="1" applyFill="1" applyBorder="1" applyAlignment="1">
      <alignment horizontal="center" vertical="center" wrapText="1"/>
    </xf>
    <xf numFmtId="3" fontId="72" fillId="11" borderId="90" xfId="0" applyNumberFormat="1" applyFont="1" applyFill="1" applyBorder="1" applyAlignment="1">
      <alignment horizontal="center" vertical="center" wrapText="1"/>
    </xf>
    <xf numFmtId="3" fontId="67" fillId="11" borderId="106" xfId="0" applyNumberFormat="1" applyFont="1" applyFill="1" applyBorder="1" applyAlignment="1">
      <alignment horizontal="center" vertical="center" wrapText="1"/>
    </xf>
    <xf numFmtId="0" fontId="68" fillId="11" borderId="88" xfId="0" applyFont="1" applyFill="1" applyBorder="1" applyAlignment="1">
      <alignment horizontal="left" vertical="center" wrapText="1"/>
    </xf>
    <xf numFmtId="3" fontId="70" fillId="11" borderId="89" xfId="0" applyNumberFormat="1" applyFont="1" applyFill="1" applyBorder="1" applyAlignment="1">
      <alignment horizontal="center" vertical="center" wrapText="1"/>
    </xf>
    <xf numFmtId="3" fontId="72" fillId="11" borderId="89" xfId="0" applyNumberFormat="1" applyFont="1" applyFill="1" applyBorder="1" applyAlignment="1">
      <alignment horizontal="center" vertical="center" wrapText="1"/>
    </xf>
    <xf numFmtId="3" fontId="72" fillId="11" borderId="95" xfId="0" applyNumberFormat="1" applyFont="1" applyFill="1" applyBorder="1" applyAlignment="1">
      <alignment horizontal="center" vertical="center" wrapText="1"/>
    </xf>
    <xf numFmtId="3" fontId="67" fillId="11" borderId="122" xfId="0" applyNumberFormat="1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" fillId="6" borderId="29" xfId="855" applyFont="1" applyFill="1" applyBorder="1" applyAlignment="1" applyProtection="1">
      <alignment horizontal="center" vertical="center" wrapText="1"/>
      <protection/>
    </xf>
    <xf numFmtId="0" fontId="5" fillId="6" borderId="29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70" fillId="6" borderId="29" xfId="1507" applyFont="1" applyFill="1" applyBorder="1" applyAlignment="1">
      <alignment horizontal="center" vertical="center" wrapText="1"/>
      <protection/>
    </xf>
    <xf numFmtId="0" fontId="95" fillId="6" borderId="29" xfId="1507" applyFont="1" applyFill="1" applyBorder="1" applyAlignment="1">
      <alignment vertical="center" wrapText="1"/>
      <protection/>
    </xf>
    <xf numFmtId="3" fontId="72" fillId="6" borderId="29" xfId="0" applyNumberFormat="1" applyFont="1" applyFill="1" applyBorder="1" applyAlignment="1">
      <alignment vertical="center" wrapText="1"/>
    </xf>
    <xf numFmtId="3" fontId="3" fillId="6" borderId="29" xfId="0" applyNumberFormat="1" applyFont="1" applyFill="1" applyBorder="1" applyAlignment="1">
      <alignment vertical="center" wrapText="1"/>
    </xf>
    <xf numFmtId="0" fontId="1" fillId="6" borderId="0" xfId="0" applyFont="1" applyFill="1" applyAlignment="1">
      <alignment vertical="center" wrapText="1"/>
    </xf>
    <xf numFmtId="3" fontId="1" fillId="6" borderId="0" xfId="0" applyNumberFormat="1" applyFont="1" applyFill="1" applyAlignment="1">
      <alignment vertical="center" wrapText="1"/>
    </xf>
    <xf numFmtId="0" fontId="3" fillId="6" borderId="29" xfId="1507" applyFont="1" applyFill="1" applyBorder="1" applyAlignment="1">
      <alignment horizontal="center" vertical="center" wrapText="1"/>
      <protection/>
    </xf>
    <xf numFmtId="3" fontId="33" fillId="6" borderId="29" xfId="1507" applyNumberFormat="1" applyFont="1" applyFill="1" applyBorder="1" applyAlignment="1">
      <alignment vertical="center" wrapText="1"/>
      <protection/>
    </xf>
    <xf numFmtId="3" fontId="35" fillId="6" borderId="29" xfId="1507" applyNumberFormat="1" applyFont="1" applyFill="1" applyBorder="1" applyAlignment="1">
      <alignment vertical="center" wrapText="1"/>
      <protection/>
    </xf>
    <xf numFmtId="0" fontId="67" fillId="6" borderId="29" xfId="1507" applyFont="1" applyFill="1" applyBorder="1" applyAlignment="1">
      <alignment horizontal="center" vertical="center" wrapText="1"/>
      <protection/>
    </xf>
    <xf numFmtId="3" fontId="72" fillId="6" borderId="29" xfId="1507" applyNumberFormat="1" applyFont="1" applyFill="1" applyBorder="1" applyAlignment="1">
      <alignment vertical="center" wrapText="1"/>
      <protection/>
    </xf>
    <xf numFmtId="0" fontId="3" fillId="6" borderId="29" xfId="0" applyFont="1" applyFill="1" applyBorder="1" applyAlignment="1">
      <alignment vertical="center" wrapText="1"/>
    </xf>
    <xf numFmtId="0" fontId="2" fillId="6" borderId="29" xfId="0" applyFont="1" applyFill="1" applyBorder="1" applyAlignment="1">
      <alignment vertical="center" wrapText="1"/>
    </xf>
    <xf numFmtId="0" fontId="9" fillId="6" borderId="0" xfId="0" applyFont="1" applyFill="1" applyAlignment="1">
      <alignment vertical="center" wrapText="1"/>
    </xf>
    <xf numFmtId="188" fontId="9" fillId="6" borderId="0" xfId="0" applyNumberFormat="1" applyFont="1" applyFill="1" applyAlignment="1">
      <alignment vertical="center" wrapText="1"/>
    </xf>
    <xf numFmtId="0" fontId="101" fillId="6" borderId="0" xfId="0" applyFont="1" applyFill="1" applyAlignment="1">
      <alignment vertical="center" wrapText="1"/>
    </xf>
    <xf numFmtId="2" fontId="101" fillId="6" borderId="0" xfId="0" applyNumberFormat="1" applyFont="1" applyFill="1" applyAlignment="1">
      <alignment vertical="center" wrapText="1"/>
    </xf>
    <xf numFmtId="2" fontId="9" fillId="6" borderId="0" xfId="0" applyNumberFormat="1" applyFont="1" applyFill="1" applyAlignment="1">
      <alignment vertical="center" wrapText="1"/>
    </xf>
    <xf numFmtId="2" fontId="10" fillId="6" borderId="0" xfId="0" applyNumberFormat="1" applyFont="1" applyFill="1" applyAlignment="1">
      <alignment vertical="center" wrapText="1"/>
    </xf>
    <xf numFmtId="0" fontId="95" fillId="6" borderId="29" xfId="1507" applyFont="1" applyFill="1" applyBorder="1" applyAlignment="1">
      <alignment horizontal="left" vertical="center" wrapText="1"/>
      <protection/>
    </xf>
    <xf numFmtId="2" fontId="85" fillId="6" borderId="0" xfId="0" applyNumberFormat="1" applyFont="1" applyFill="1" applyAlignment="1">
      <alignment vertical="center" wrapText="1"/>
    </xf>
    <xf numFmtId="0" fontId="103" fillId="6" borderId="0" xfId="0" applyFont="1" applyFill="1" applyAlignment="1">
      <alignment vertical="center" wrapText="1"/>
    </xf>
    <xf numFmtId="3" fontId="104" fillId="6" borderId="0" xfId="0" applyNumberFormat="1" applyFont="1" applyFill="1" applyAlignment="1">
      <alignment vertical="center" wrapText="1"/>
    </xf>
    <xf numFmtId="0" fontId="3" fillId="6" borderId="123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124" xfId="0" applyFont="1" applyFill="1" applyBorder="1" applyAlignment="1">
      <alignment horizontal="center" vertical="center" wrapText="1"/>
    </xf>
    <xf numFmtId="0" fontId="73" fillId="6" borderId="0" xfId="0" applyFont="1" applyFill="1" applyAlignment="1">
      <alignment/>
    </xf>
    <xf numFmtId="0" fontId="73" fillId="6" borderId="0" xfId="0" applyFont="1" applyFill="1" applyBorder="1" applyAlignment="1">
      <alignment/>
    </xf>
    <xf numFmtId="3" fontId="73" fillId="6" borderId="0" xfId="0" applyNumberFormat="1" applyFont="1" applyFill="1" applyAlignment="1">
      <alignment/>
    </xf>
    <xf numFmtId="0" fontId="3" fillId="6" borderId="58" xfId="0" applyFont="1" applyFill="1" applyBorder="1" applyAlignment="1">
      <alignment horizontal="center" vertical="top" wrapText="1"/>
    </xf>
    <xf numFmtId="0" fontId="3" fillId="6" borderId="42" xfId="0" applyFont="1" applyFill="1" applyBorder="1" applyAlignment="1">
      <alignment horizontal="center" vertical="top" wrapText="1"/>
    </xf>
    <xf numFmtId="0" fontId="3" fillId="6" borderId="125" xfId="0" applyFont="1" applyFill="1" applyBorder="1" applyAlignment="1">
      <alignment horizontal="center" vertical="top" wrapText="1"/>
    </xf>
    <xf numFmtId="0" fontId="2" fillId="6" borderId="38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vertical="center" wrapText="1"/>
    </xf>
    <xf numFmtId="1" fontId="3" fillId="6" borderId="40" xfId="0" applyNumberFormat="1" applyFont="1" applyFill="1" applyBorder="1" applyAlignment="1">
      <alignment horizontal="center" vertical="center" wrapText="1"/>
    </xf>
    <xf numFmtId="1" fontId="3" fillId="6" borderId="69" xfId="0" applyNumberFormat="1" applyFont="1" applyFill="1" applyBorder="1" applyAlignment="1">
      <alignment horizontal="center" vertical="center" wrapText="1"/>
    </xf>
    <xf numFmtId="3" fontId="3" fillId="6" borderId="69" xfId="0" applyNumberFormat="1" applyFont="1" applyFill="1" applyBorder="1" applyAlignment="1">
      <alignment horizontal="center" vertical="center" wrapText="1"/>
    </xf>
    <xf numFmtId="0" fontId="4" fillId="6" borderId="38" xfId="0" applyFont="1" applyFill="1" applyBorder="1" applyAlignment="1">
      <alignment vertical="center" wrapText="1"/>
    </xf>
    <xf numFmtId="1" fontId="3" fillId="6" borderId="124" xfId="0" applyNumberFormat="1" applyFont="1" applyFill="1" applyBorder="1" applyAlignment="1">
      <alignment horizontal="center" vertical="center" wrapText="1"/>
    </xf>
    <xf numFmtId="3" fontId="3" fillId="6" borderId="98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6" borderId="117" xfId="0" applyFont="1" applyFill="1" applyBorder="1" applyAlignment="1">
      <alignment horizontal="center" vertical="center" wrapText="1"/>
    </xf>
    <xf numFmtId="0" fontId="10" fillId="6" borderId="81" xfId="0" applyFont="1" applyFill="1" applyBorder="1" applyAlignment="1">
      <alignment horizontal="center" vertical="center" wrapText="1"/>
    </xf>
    <xf numFmtId="0" fontId="10" fillId="6" borderId="120" xfId="0" applyFont="1" applyFill="1" applyBorder="1" applyAlignment="1">
      <alignment horizontal="center" vertical="center" wrapText="1"/>
    </xf>
    <xf numFmtId="0" fontId="10" fillId="6" borderId="74" xfId="0" applyFont="1" applyFill="1" applyBorder="1" applyAlignment="1">
      <alignment horizontal="center" vertical="center" wrapText="1"/>
    </xf>
    <xf numFmtId="0" fontId="10" fillId="6" borderId="106" xfId="0" applyFont="1" applyFill="1" applyBorder="1" applyAlignment="1">
      <alignment horizontal="center" vertical="center" wrapText="1"/>
    </xf>
    <xf numFmtId="3" fontId="7" fillId="11" borderId="79" xfId="0" applyNumberFormat="1" applyFont="1" applyFill="1" applyBorder="1" applyAlignment="1">
      <alignment horizontal="center" vertical="center" wrapText="1"/>
    </xf>
    <xf numFmtId="3" fontId="7" fillId="11" borderId="74" xfId="0" applyNumberFormat="1" applyFont="1" applyFill="1" applyBorder="1" applyAlignment="1">
      <alignment horizontal="center" vertical="center" wrapText="1"/>
    </xf>
    <xf numFmtId="3" fontId="69" fillId="11" borderId="73" xfId="0" applyNumberFormat="1" applyFont="1" applyFill="1" applyBorder="1" applyAlignment="1">
      <alignment horizontal="center" vertical="center" wrapText="1"/>
    </xf>
    <xf numFmtId="3" fontId="12" fillId="11" borderId="105" xfId="0" applyNumberFormat="1" applyFont="1" applyFill="1" applyBorder="1" applyAlignment="1">
      <alignment vertical="center" wrapText="1"/>
    </xf>
    <xf numFmtId="3" fontId="5" fillId="11" borderId="73" xfId="0" applyNumberFormat="1" applyFont="1" applyFill="1" applyBorder="1" applyAlignment="1">
      <alignment horizontal="center" vertical="center" wrapText="1"/>
    </xf>
    <xf numFmtId="3" fontId="5" fillId="11" borderId="105" xfId="0" applyNumberFormat="1" applyFont="1" applyFill="1" applyBorder="1" applyAlignment="1">
      <alignment vertical="center" wrapText="1"/>
    </xf>
    <xf numFmtId="3" fontId="4" fillId="6" borderId="77" xfId="0" applyNumberFormat="1" applyFont="1" applyFill="1" applyBorder="1" applyAlignment="1">
      <alignment horizontal="center" vertical="center" wrapText="1"/>
    </xf>
    <xf numFmtId="0" fontId="10" fillId="6" borderId="87" xfId="0" applyFont="1" applyFill="1" applyBorder="1" applyAlignment="1">
      <alignment vertical="center" wrapText="1"/>
    </xf>
    <xf numFmtId="3" fontId="4" fillId="6" borderId="96" xfId="0" applyNumberFormat="1" applyFont="1" applyFill="1" applyBorder="1" applyAlignment="1">
      <alignment vertical="center" wrapText="1"/>
    </xf>
    <xf numFmtId="0" fontId="2" fillId="0" borderId="0" xfId="919" applyFont="1" applyAlignment="1">
      <alignment vertical="center" wrapText="1"/>
      <protection/>
    </xf>
    <xf numFmtId="0" fontId="3" fillId="0" borderId="0" xfId="919" applyFont="1" applyAlignment="1">
      <alignment vertical="center" wrapText="1"/>
      <protection/>
    </xf>
    <xf numFmtId="3" fontId="3" fillId="0" borderId="0" xfId="919" applyNumberFormat="1" applyFont="1" applyAlignment="1">
      <alignment vertical="center" wrapText="1"/>
      <protection/>
    </xf>
    <xf numFmtId="3" fontId="3" fillId="17" borderId="29" xfId="1507" applyNumberFormat="1" applyFont="1" applyFill="1" applyBorder="1" applyAlignment="1">
      <alignment vertical="center" wrapText="1"/>
      <protection/>
    </xf>
    <xf numFmtId="3" fontId="35" fillId="17" borderId="29" xfId="1507" applyNumberFormat="1" applyFont="1" applyFill="1" applyBorder="1" applyAlignment="1">
      <alignment vertical="center" wrapText="1"/>
      <protection/>
    </xf>
    <xf numFmtId="0" fontId="146" fillId="17" borderId="29" xfId="1507" applyFont="1" applyFill="1" applyBorder="1" applyAlignment="1">
      <alignment vertical="center" wrapText="1"/>
      <protection/>
    </xf>
    <xf numFmtId="0" fontId="146" fillId="17" borderId="31" xfId="1507" applyFont="1" applyFill="1" applyBorder="1" applyAlignment="1">
      <alignment horizontal="center" vertical="center" wrapText="1"/>
      <protection/>
    </xf>
    <xf numFmtId="0" fontId="11" fillId="0" borderId="29" xfId="919" applyFont="1" applyBorder="1" applyAlignment="1">
      <alignment vertical="center" wrapText="1"/>
      <protection/>
    </xf>
    <xf numFmtId="0" fontId="11" fillId="17" borderId="29" xfId="919" applyFont="1" applyFill="1" applyBorder="1" applyAlignment="1">
      <alignment vertical="center" wrapText="1"/>
      <protection/>
    </xf>
    <xf numFmtId="0" fontId="35" fillId="59" borderId="29" xfId="919" applyFont="1" applyFill="1" applyBorder="1" applyAlignment="1">
      <alignment vertical="center" wrapText="1"/>
      <protection/>
    </xf>
    <xf numFmtId="0" fontId="35" fillId="17" borderId="29" xfId="919" applyFont="1" applyFill="1" applyBorder="1" applyAlignment="1">
      <alignment vertical="center" wrapText="1"/>
      <protection/>
    </xf>
    <xf numFmtId="0" fontId="146" fillId="0" borderId="29" xfId="1507" applyFont="1" applyBorder="1" applyAlignment="1">
      <alignment vertical="center" wrapText="1"/>
      <protection/>
    </xf>
    <xf numFmtId="0" fontId="146" fillId="0" borderId="31" xfId="1507" applyFont="1" applyBorder="1" applyAlignment="1">
      <alignment horizontal="center" vertical="center" wrapText="1"/>
      <protection/>
    </xf>
    <xf numFmtId="0" fontId="11" fillId="0" borderId="0" xfId="919" applyFont="1" applyAlignment="1">
      <alignment vertical="center" wrapText="1"/>
      <protection/>
    </xf>
    <xf numFmtId="0" fontId="3" fillId="17" borderId="29" xfId="1507" applyFont="1" applyFill="1" applyBorder="1" applyAlignment="1">
      <alignment vertical="center" wrapText="1"/>
      <protection/>
    </xf>
    <xf numFmtId="0" fontId="3" fillId="17" borderId="29" xfId="1507" applyFont="1" applyFill="1" applyBorder="1" applyAlignment="1">
      <alignment horizontal="center" vertical="center" wrapText="1"/>
      <protection/>
    </xf>
    <xf numFmtId="0" fontId="146" fillId="0" borderId="31" xfId="1507" applyFont="1" applyBorder="1" applyAlignment="1">
      <alignment horizontal="left" vertical="center" wrapText="1"/>
      <protection/>
    </xf>
    <xf numFmtId="0" fontId="11" fillId="59" borderId="29" xfId="919" applyFont="1" applyFill="1" applyBorder="1" applyAlignment="1">
      <alignment vertical="center" wrapText="1"/>
      <protection/>
    </xf>
    <xf numFmtId="2" fontId="11" fillId="0" borderId="0" xfId="919" applyNumberFormat="1" applyFont="1" applyAlignment="1">
      <alignment vertical="center" wrapText="1"/>
      <protection/>
    </xf>
    <xf numFmtId="0" fontId="2" fillId="17" borderId="29" xfId="855" applyFont="1" applyFill="1" applyBorder="1" applyAlignment="1" applyProtection="1">
      <alignment horizontal="center" vertical="center" wrapText="1"/>
      <protection/>
    </xf>
    <xf numFmtId="0" fontId="2" fillId="17" borderId="29" xfId="919" applyFont="1" applyFill="1" applyBorder="1" applyAlignment="1">
      <alignment horizontal="center" vertical="center" wrapText="1"/>
      <protection/>
    </xf>
    <xf numFmtId="0" fontId="3" fillId="17" borderId="29" xfId="855" applyFont="1" applyFill="1" applyBorder="1" applyAlignment="1" applyProtection="1">
      <alignment horizontal="center" vertical="center" wrapText="1"/>
      <protection/>
    </xf>
    <xf numFmtId="0" fontId="147" fillId="0" borderId="0" xfId="919" applyFont="1" applyAlignment="1">
      <alignment horizontal="center" vertical="center" wrapText="1"/>
      <protection/>
    </xf>
    <xf numFmtId="0" fontId="3" fillId="0" borderId="0" xfId="919" applyFont="1" applyAlignment="1">
      <alignment horizontal="center" vertical="center" wrapText="1"/>
      <protection/>
    </xf>
    <xf numFmtId="4" fontId="72" fillId="17" borderId="29" xfId="0" applyNumberFormat="1" applyFont="1" applyFill="1" applyBorder="1" applyAlignment="1">
      <alignment horizontal="right" vertical="center"/>
    </xf>
    <xf numFmtId="0" fontId="148" fillId="59" borderId="29" xfId="919" applyFont="1" applyFill="1" applyBorder="1" applyAlignment="1">
      <alignment vertical="center" wrapText="1"/>
      <protection/>
    </xf>
    <xf numFmtId="1" fontId="2" fillId="59" borderId="29" xfId="0" applyNumberFormat="1" applyFont="1" applyFill="1" applyBorder="1" applyAlignment="1">
      <alignment horizontal="center" vertical="center" wrapText="1"/>
    </xf>
    <xf numFmtId="0" fontId="2" fillId="59" borderId="32" xfId="0" applyFont="1" applyFill="1" applyBorder="1" applyAlignment="1">
      <alignment horizontal="center" vertical="center" wrapText="1"/>
    </xf>
    <xf numFmtId="0" fontId="2" fillId="59" borderId="30" xfId="0" applyFont="1" applyFill="1" applyBorder="1" applyAlignment="1">
      <alignment horizontal="center" vertical="center" wrapText="1"/>
    </xf>
    <xf numFmtId="1" fontId="2" fillId="59" borderId="30" xfId="0" applyNumberFormat="1" applyFont="1" applyFill="1" applyBorder="1" applyAlignment="1">
      <alignment horizontal="center" vertical="center" wrapText="1"/>
    </xf>
    <xf numFmtId="3" fontId="68" fillId="9" borderId="62" xfId="0" applyNumberFormat="1" applyFont="1" applyFill="1" applyBorder="1" applyAlignment="1">
      <alignment horizontal="center" vertical="top" wrapText="1"/>
    </xf>
    <xf numFmtId="3" fontId="68" fillId="9" borderId="68" xfId="0" applyNumberFormat="1" applyFont="1" applyFill="1" applyBorder="1" applyAlignment="1">
      <alignment horizontal="center" vertical="top" wrapText="1"/>
    </xf>
    <xf numFmtId="3" fontId="4" fillId="9" borderId="93" xfId="0" applyNumberFormat="1" applyFont="1" applyFill="1" applyBorder="1" applyAlignment="1">
      <alignment horizontal="center" vertical="top" wrapText="1"/>
    </xf>
    <xf numFmtId="3" fontId="4" fillId="9" borderId="92" xfId="0" applyNumberFormat="1" applyFont="1" applyFill="1" applyBorder="1" applyAlignment="1">
      <alignment horizontal="center" vertical="top" wrapText="1"/>
    </xf>
    <xf numFmtId="0" fontId="68" fillId="9" borderId="62" xfId="0" applyFont="1" applyFill="1" applyBorder="1" applyAlignment="1">
      <alignment horizontal="center" vertical="top" wrapText="1"/>
    </xf>
    <xf numFmtId="0" fontId="68" fillId="9" borderId="68" xfId="0" applyFont="1" applyFill="1" applyBorder="1" applyAlignment="1">
      <alignment horizontal="center" vertical="top" wrapText="1"/>
    </xf>
    <xf numFmtId="0" fontId="4" fillId="9" borderId="62" xfId="0" applyFont="1" applyFill="1" applyBorder="1" applyAlignment="1">
      <alignment horizontal="center" vertical="center" wrapText="1"/>
    </xf>
    <xf numFmtId="0" fontId="4" fillId="9" borderId="71" xfId="0" applyFont="1" applyFill="1" applyBorder="1" applyAlignment="1">
      <alignment horizontal="center" vertical="center" wrapText="1"/>
    </xf>
    <xf numFmtId="0" fontId="4" fillId="9" borderId="68" xfId="0" applyFont="1" applyFill="1" applyBorder="1" applyAlignment="1">
      <alignment horizontal="center" vertical="center" wrapText="1"/>
    </xf>
    <xf numFmtId="0" fontId="4" fillId="9" borderId="62" xfId="0" applyFont="1" applyFill="1" applyBorder="1" applyAlignment="1">
      <alignment horizontal="center" vertical="top" wrapText="1"/>
    </xf>
    <xf numFmtId="0" fontId="4" fillId="9" borderId="68" xfId="0" applyFont="1" applyFill="1" applyBorder="1" applyAlignment="1">
      <alignment horizontal="center" vertical="top" wrapText="1"/>
    </xf>
    <xf numFmtId="0" fontId="69" fillId="9" borderId="31" xfId="0" applyFont="1" applyFill="1" applyBorder="1" applyAlignment="1">
      <alignment horizontal="center" vertical="top" wrapText="1"/>
    </xf>
    <xf numFmtId="0" fontId="69" fillId="9" borderId="72" xfId="0" applyFont="1" applyFill="1" applyBorder="1" applyAlignment="1">
      <alignment horizontal="center" vertical="top" wrapText="1"/>
    </xf>
    <xf numFmtId="3" fontId="4" fillId="9" borderId="34" xfId="0" applyNumberFormat="1" applyFont="1" applyFill="1" applyBorder="1" applyAlignment="1">
      <alignment horizontal="center" vertical="top" wrapText="1"/>
    </xf>
    <xf numFmtId="3" fontId="4" fillId="9" borderId="33" xfId="0" applyNumberFormat="1" applyFont="1" applyFill="1" applyBorder="1" applyAlignment="1">
      <alignment horizontal="center" vertical="top" wrapText="1"/>
    </xf>
    <xf numFmtId="0" fontId="4" fillId="9" borderId="126" xfId="0" applyFont="1" applyFill="1" applyBorder="1" applyAlignment="1">
      <alignment horizontal="center" vertical="center" wrapText="1"/>
    </xf>
    <xf numFmtId="0" fontId="4" fillId="9" borderId="127" xfId="0" applyFont="1" applyFill="1" applyBorder="1" applyAlignment="1">
      <alignment horizontal="center" vertical="center" wrapText="1"/>
    </xf>
    <xf numFmtId="0" fontId="4" fillId="9" borderId="128" xfId="0" applyFont="1" applyFill="1" applyBorder="1" applyAlignment="1">
      <alignment horizontal="center" vertical="center" wrapText="1"/>
    </xf>
    <xf numFmtId="0" fontId="68" fillId="11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3" fontId="35" fillId="9" borderId="126" xfId="0" applyNumberFormat="1" applyFont="1" applyFill="1" applyBorder="1" applyAlignment="1">
      <alignment horizontal="center" vertical="center" wrapText="1"/>
    </xf>
    <xf numFmtId="3" fontId="35" fillId="9" borderId="127" xfId="0" applyNumberFormat="1" applyFont="1" applyFill="1" applyBorder="1" applyAlignment="1">
      <alignment horizontal="center" vertical="center" wrapText="1"/>
    </xf>
    <xf numFmtId="3" fontId="35" fillId="9" borderId="128" xfId="0" applyNumberFormat="1" applyFont="1" applyFill="1" applyBorder="1" applyAlignment="1">
      <alignment horizontal="center" vertical="center" wrapText="1"/>
    </xf>
    <xf numFmtId="0" fontId="35" fillId="9" borderId="129" xfId="0" applyFont="1" applyFill="1" applyBorder="1" applyAlignment="1">
      <alignment horizontal="center" vertical="center" wrapText="1"/>
    </xf>
    <xf numFmtId="0" fontId="35" fillId="9" borderId="130" xfId="0" applyFont="1" applyFill="1" applyBorder="1" applyAlignment="1">
      <alignment horizontal="center" vertical="center" wrapText="1"/>
    </xf>
    <xf numFmtId="0" fontId="35" fillId="9" borderId="131" xfId="0" applyFont="1" applyFill="1" applyBorder="1" applyAlignment="1">
      <alignment horizontal="center" vertical="center" wrapText="1"/>
    </xf>
    <xf numFmtId="0" fontId="4" fillId="9" borderId="129" xfId="0" applyFont="1" applyFill="1" applyBorder="1" applyAlignment="1">
      <alignment horizontal="center" vertical="center" wrapText="1"/>
    </xf>
    <xf numFmtId="0" fontId="4" fillId="9" borderId="130" xfId="0" applyFont="1" applyFill="1" applyBorder="1" applyAlignment="1">
      <alignment horizontal="center" vertical="center" wrapText="1"/>
    </xf>
    <xf numFmtId="0" fontId="4" fillId="9" borderId="131" xfId="0" applyFont="1" applyFill="1" applyBorder="1" applyAlignment="1">
      <alignment horizontal="center" vertical="center" wrapText="1"/>
    </xf>
    <xf numFmtId="0" fontId="4" fillId="9" borderId="101" xfId="0" applyFont="1" applyFill="1" applyBorder="1" applyAlignment="1">
      <alignment horizontal="center" vertical="center" wrapText="1"/>
    </xf>
    <xf numFmtId="0" fontId="4" fillId="9" borderId="132" xfId="0" applyFont="1" applyFill="1" applyBorder="1" applyAlignment="1">
      <alignment horizontal="center" vertical="center" wrapText="1"/>
    </xf>
    <xf numFmtId="0" fontId="4" fillId="9" borderId="133" xfId="0" applyFont="1" applyFill="1" applyBorder="1" applyAlignment="1">
      <alignment horizontal="center" vertical="center" wrapText="1"/>
    </xf>
    <xf numFmtId="0" fontId="68" fillId="9" borderId="33" xfId="0" applyFont="1" applyFill="1" applyBorder="1" applyAlignment="1">
      <alignment horizontal="center" vertical="top" wrapText="1"/>
    </xf>
    <xf numFmtId="0" fontId="68" fillId="9" borderId="53" xfId="0" applyFont="1" applyFill="1" applyBorder="1" applyAlignment="1">
      <alignment horizontal="center" vertical="top" wrapText="1"/>
    </xf>
    <xf numFmtId="0" fontId="68" fillId="9" borderId="105" xfId="0" applyFont="1" applyFill="1" applyBorder="1" applyAlignment="1">
      <alignment horizontal="center" vertical="top" wrapText="1"/>
    </xf>
    <xf numFmtId="0" fontId="70" fillId="9" borderId="114" xfId="0" applyFont="1" applyFill="1" applyBorder="1" applyAlignment="1">
      <alignment horizontal="center" vertical="center" wrapText="1"/>
    </xf>
    <xf numFmtId="0" fontId="70" fillId="9" borderId="130" xfId="0" applyFont="1" applyFill="1" applyBorder="1" applyAlignment="1">
      <alignment horizontal="center" vertical="center" wrapText="1"/>
    </xf>
    <xf numFmtId="0" fontId="70" fillId="9" borderId="13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9" borderId="134" xfId="0" applyFont="1" applyFill="1" applyBorder="1" applyAlignment="1">
      <alignment horizontal="center" vertical="center" wrapText="1"/>
    </xf>
    <xf numFmtId="0" fontId="4" fillId="9" borderId="121" xfId="0" applyFont="1" applyFill="1" applyBorder="1" applyAlignment="1">
      <alignment horizontal="center" vertical="center" wrapText="1"/>
    </xf>
    <xf numFmtId="0" fontId="4" fillId="9" borderId="118" xfId="0" applyFont="1" applyFill="1" applyBorder="1" applyAlignment="1">
      <alignment horizontal="center" vertical="center" wrapText="1"/>
    </xf>
    <xf numFmtId="0" fontId="4" fillId="9" borderId="87" xfId="0" applyFont="1" applyFill="1" applyBorder="1" applyAlignment="1">
      <alignment horizontal="center" vertical="center" wrapText="1"/>
    </xf>
    <xf numFmtId="0" fontId="114" fillId="9" borderId="134" xfId="0" applyFont="1" applyFill="1" applyBorder="1" applyAlignment="1">
      <alignment horizontal="center" vertical="center" wrapText="1"/>
    </xf>
    <xf numFmtId="0" fontId="114" fillId="9" borderId="121" xfId="0" applyFont="1" applyFill="1" applyBorder="1" applyAlignment="1">
      <alignment horizontal="center" vertical="center" wrapText="1"/>
    </xf>
    <xf numFmtId="0" fontId="68" fillId="9" borderId="87" xfId="0" applyFont="1" applyFill="1" applyBorder="1" applyAlignment="1">
      <alignment horizontal="center" vertical="top" wrapText="1"/>
    </xf>
    <xf numFmtId="0" fontId="68" fillId="9" borderId="29" xfId="0" applyFont="1" applyFill="1" applyBorder="1" applyAlignment="1">
      <alignment horizontal="center" vertical="top" wrapText="1"/>
    </xf>
    <xf numFmtId="0" fontId="68" fillId="9" borderId="89" xfId="0" applyFont="1" applyFill="1" applyBorder="1" applyAlignment="1">
      <alignment horizontal="center" vertical="top" wrapText="1"/>
    </xf>
    <xf numFmtId="0" fontId="4" fillId="9" borderId="117" xfId="0" applyFont="1" applyFill="1" applyBorder="1" applyAlignment="1">
      <alignment horizontal="center" vertical="center" wrapText="1"/>
    </xf>
    <xf numFmtId="0" fontId="4" fillId="9" borderId="78" xfId="0" applyFont="1" applyFill="1" applyBorder="1" applyAlignment="1">
      <alignment horizontal="center" vertical="center" wrapText="1"/>
    </xf>
    <xf numFmtId="0" fontId="4" fillId="9" borderId="77" xfId="0" applyFont="1" applyFill="1" applyBorder="1" applyAlignment="1">
      <alignment horizontal="center" vertical="center" wrapText="1"/>
    </xf>
    <xf numFmtId="0" fontId="4" fillId="9" borderId="119" xfId="0" applyFont="1" applyFill="1" applyBorder="1" applyAlignment="1">
      <alignment horizontal="center" vertical="center" wrapText="1"/>
    </xf>
    <xf numFmtId="0" fontId="114" fillId="9" borderId="126" xfId="0" applyFont="1" applyFill="1" applyBorder="1" applyAlignment="1">
      <alignment horizontal="center" vertical="center" wrapText="1"/>
    </xf>
    <xf numFmtId="0" fontId="114" fillId="9" borderId="127" xfId="0" applyFont="1" applyFill="1" applyBorder="1" applyAlignment="1">
      <alignment horizontal="center" vertical="center" wrapText="1"/>
    </xf>
    <xf numFmtId="0" fontId="114" fillId="9" borderId="128" xfId="0" applyFont="1" applyFill="1" applyBorder="1" applyAlignment="1">
      <alignment horizontal="center" vertical="center" wrapText="1"/>
    </xf>
    <xf numFmtId="0" fontId="68" fillId="9" borderId="71" xfId="0" applyFont="1" applyFill="1" applyBorder="1" applyAlignment="1">
      <alignment horizontal="center" vertical="top" wrapText="1"/>
    </xf>
    <xf numFmtId="0" fontId="5" fillId="11" borderId="0" xfId="0" applyFont="1" applyFill="1" applyAlignment="1">
      <alignment horizontal="center"/>
    </xf>
    <xf numFmtId="0" fontId="114" fillId="9" borderId="101" xfId="0" applyFont="1" applyFill="1" applyBorder="1" applyAlignment="1">
      <alignment horizontal="center" vertical="center" wrapText="1"/>
    </xf>
    <xf numFmtId="0" fontId="68" fillId="9" borderId="79" xfId="0" applyFont="1" applyFill="1" applyBorder="1" applyAlignment="1">
      <alignment horizontal="center" vertical="top" wrapText="1"/>
    </xf>
    <xf numFmtId="0" fontId="68" fillId="9" borderId="77" xfId="0" applyFont="1" applyFill="1" applyBorder="1" applyAlignment="1">
      <alignment horizontal="center" vertical="top" wrapText="1"/>
    </xf>
    <xf numFmtId="3" fontId="68" fillId="9" borderId="90" xfId="0" applyNumberFormat="1" applyFont="1" applyFill="1" applyBorder="1" applyAlignment="1">
      <alignment horizontal="center" vertical="top" wrapText="1"/>
    </xf>
    <xf numFmtId="3" fontId="68" fillId="9" borderId="95" xfId="0" applyNumberFormat="1" applyFont="1" applyFill="1" applyBorder="1" applyAlignment="1">
      <alignment horizontal="center" vertical="top" wrapText="1"/>
    </xf>
    <xf numFmtId="0" fontId="4" fillId="9" borderId="135" xfId="0" applyFont="1" applyFill="1" applyBorder="1" applyAlignment="1">
      <alignment horizontal="center" vertical="center" wrapText="1"/>
    </xf>
    <xf numFmtId="3" fontId="4" fillId="9" borderId="95" xfId="0" applyNumberFormat="1" applyFont="1" applyFill="1" applyBorder="1" applyAlignment="1">
      <alignment horizontal="center" vertical="top" wrapText="1"/>
    </xf>
    <xf numFmtId="0" fontId="4" fillId="9" borderId="71" xfId="0" applyFont="1" applyFill="1" applyBorder="1" applyAlignment="1">
      <alignment horizontal="center" vertical="top" wrapText="1"/>
    </xf>
    <xf numFmtId="0" fontId="4" fillId="9" borderId="87" xfId="0" applyFont="1" applyFill="1" applyBorder="1" applyAlignment="1">
      <alignment horizontal="center" vertical="top" wrapText="1"/>
    </xf>
    <xf numFmtId="0" fontId="95" fillId="0" borderId="134" xfId="0" applyFont="1" applyBorder="1" applyAlignment="1" applyProtection="1">
      <alignment horizontal="left" wrapText="1"/>
      <protection locked="0"/>
    </xf>
    <xf numFmtId="0" fontId="3" fillId="9" borderId="129" xfId="0" applyFont="1" applyFill="1" applyBorder="1" applyAlignment="1">
      <alignment horizontal="center" vertical="center" wrapText="1"/>
    </xf>
    <xf numFmtId="0" fontId="3" fillId="9" borderId="130" xfId="0" applyFont="1" applyFill="1" applyBorder="1" applyAlignment="1">
      <alignment horizontal="center" vertical="center" wrapText="1"/>
    </xf>
    <xf numFmtId="0" fontId="3" fillId="9" borderId="131" xfId="0" applyFont="1" applyFill="1" applyBorder="1" applyAlignment="1">
      <alignment horizontal="center" vertical="center" wrapText="1"/>
    </xf>
    <xf numFmtId="0" fontId="11" fillId="9" borderId="29" xfId="1425" applyFont="1" applyFill="1" applyBorder="1" applyAlignment="1">
      <alignment horizontal="center" vertical="center" wrapText="1"/>
      <protection/>
    </xf>
    <xf numFmtId="0" fontId="2" fillId="9" borderId="62" xfId="1425" applyFont="1" applyFill="1" applyBorder="1" applyAlignment="1">
      <alignment horizontal="center" vertical="center" wrapText="1"/>
      <protection/>
    </xf>
    <xf numFmtId="0" fontId="2" fillId="9" borderId="71" xfId="1425" applyFont="1" applyFill="1" applyBorder="1" applyAlignment="1">
      <alignment horizontal="center" vertical="center" wrapText="1"/>
      <protection/>
    </xf>
    <xf numFmtId="0" fontId="2" fillId="9" borderId="93" xfId="1425" applyFont="1" applyFill="1" applyBorder="1" applyAlignment="1">
      <alignment horizontal="center" vertical="center" wrapText="1"/>
      <protection/>
    </xf>
    <xf numFmtId="0" fontId="2" fillId="9" borderId="104" xfId="142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95" fillId="0" borderId="0" xfId="1425" applyFont="1" applyAlignment="1">
      <alignment horizontal="center" vertical="center" wrapText="1"/>
      <protection/>
    </xf>
    <xf numFmtId="0" fontId="2" fillId="9" borderId="117" xfId="1425" applyFont="1" applyFill="1" applyBorder="1" applyAlignment="1">
      <alignment horizontal="center" vertical="center" wrapText="1"/>
      <protection/>
    </xf>
    <xf numFmtId="0" fontId="2" fillId="9" borderId="78" xfId="1425" applyFont="1" applyFill="1" applyBorder="1" applyAlignment="1">
      <alignment horizontal="center" vertical="center" wrapText="1"/>
      <protection/>
    </xf>
    <xf numFmtId="0" fontId="3" fillId="9" borderId="118" xfId="1425" applyFont="1" applyFill="1" applyBorder="1" applyAlignment="1">
      <alignment horizontal="center" vertical="center" wrapText="1"/>
      <protection/>
    </xf>
    <xf numFmtId="0" fontId="3" fillId="9" borderId="71" xfId="1425" applyFont="1" applyFill="1" applyBorder="1" applyAlignment="1">
      <alignment horizontal="center" vertical="center" wrapText="1"/>
      <protection/>
    </xf>
    <xf numFmtId="0" fontId="2" fillId="9" borderId="81" xfId="1425" applyFont="1" applyFill="1" applyBorder="1" applyAlignment="1">
      <alignment horizontal="center" vertical="center" wrapText="1"/>
      <protection/>
    </xf>
    <xf numFmtId="0" fontId="2" fillId="9" borderId="94" xfId="1425" applyFont="1" applyFill="1" applyBorder="1" applyAlignment="1">
      <alignment horizontal="center" vertical="center" wrapText="1"/>
      <protection/>
    </xf>
    <xf numFmtId="0" fontId="2" fillId="9" borderId="119" xfId="1425" applyFont="1" applyFill="1" applyBorder="1" applyAlignment="1">
      <alignment horizontal="center" vertical="center" wrapText="1"/>
      <protection/>
    </xf>
    <xf numFmtId="0" fontId="2" fillId="9" borderId="134" xfId="1425" applyFont="1" applyFill="1" applyBorder="1" applyAlignment="1">
      <alignment horizontal="center" vertical="center" wrapText="1"/>
      <protection/>
    </xf>
    <xf numFmtId="0" fontId="2" fillId="9" borderId="135" xfId="1425" applyFont="1" applyFill="1" applyBorder="1" applyAlignment="1">
      <alignment horizontal="center" vertical="center" wrapText="1"/>
      <protection/>
    </xf>
    <xf numFmtId="0" fontId="7" fillId="14" borderId="117" xfId="0" applyFont="1" applyFill="1" applyBorder="1" applyAlignment="1">
      <alignment horizontal="center" vertical="center" wrapText="1"/>
    </xf>
    <xf numFmtId="0" fontId="7" fillId="14" borderId="77" xfId="0" applyFont="1" applyFill="1" applyBorder="1" applyAlignment="1">
      <alignment horizontal="center" vertical="center" wrapText="1"/>
    </xf>
    <xf numFmtId="0" fontId="68" fillId="14" borderId="136" xfId="0" applyFont="1" applyFill="1" applyBorder="1" applyAlignment="1">
      <alignment horizontal="center" vertical="center" wrapText="1"/>
    </xf>
    <xf numFmtId="0" fontId="68" fillId="14" borderId="137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/>
    </xf>
    <xf numFmtId="0" fontId="79" fillId="14" borderId="118" xfId="0" applyFont="1" applyFill="1" applyBorder="1" applyAlignment="1">
      <alignment horizontal="center" vertical="top" wrapText="1"/>
    </xf>
    <xf numFmtId="0" fontId="79" fillId="14" borderId="87" xfId="0" applyFont="1" applyFill="1" applyBorder="1" applyAlignment="1">
      <alignment horizontal="center" vertical="top" wrapText="1"/>
    </xf>
    <xf numFmtId="0" fontId="79" fillId="14" borderId="114" xfId="0" applyFont="1" applyFill="1" applyBorder="1" applyAlignment="1">
      <alignment horizontal="center" vertical="center" wrapText="1"/>
    </xf>
    <xf numFmtId="0" fontId="79" fillId="14" borderId="130" xfId="0" applyFont="1" applyFill="1" applyBorder="1" applyAlignment="1">
      <alignment horizontal="center" vertical="center" wrapText="1"/>
    </xf>
    <xf numFmtId="0" fontId="79" fillId="14" borderId="131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9" borderId="138" xfId="0" applyFont="1" applyFill="1" applyBorder="1" applyAlignment="1">
      <alignment horizontal="center" vertical="center" wrapText="1"/>
    </xf>
    <xf numFmtId="0" fontId="3" fillId="9" borderId="57" xfId="0" applyFont="1" applyFill="1" applyBorder="1" applyAlignment="1">
      <alignment horizontal="center" vertical="center" wrapText="1"/>
    </xf>
    <xf numFmtId="0" fontId="3" fillId="6" borderId="5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1" fontId="89" fillId="11" borderId="37" xfId="0" applyNumberFormat="1" applyFont="1" applyFill="1" applyBorder="1" applyAlignment="1">
      <alignment horizontal="center" vertical="center" wrapText="1"/>
    </xf>
    <xf numFmtId="1" fontId="89" fillId="11" borderId="63" xfId="0" applyNumberFormat="1" applyFont="1" applyFill="1" applyBorder="1" applyAlignment="1">
      <alignment horizontal="center" vertical="center" wrapText="1"/>
    </xf>
    <xf numFmtId="1" fontId="89" fillId="11" borderId="32" xfId="0" applyNumberFormat="1" applyFont="1" applyFill="1" applyBorder="1" applyAlignment="1">
      <alignment horizontal="center" vertical="center" wrapText="1"/>
    </xf>
    <xf numFmtId="0" fontId="72" fillId="11" borderId="0" xfId="0" applyFont="1" applyFill="1" applyAlignment="1">
      <alignment horizontal="center" vertical="center" wrapText="1"/>
    </xf>
    <xf numFmtId="0" fontId="3" fillId="6" borderId="138" xfId="0" applyFont="1" applyFill="1" applyBorder="1" applyAlignment="1">
      <alignment horizontal="center" vertical="center" wrapText="1"/>
    </xf>
    <xf numFmtId="0" fontId="3" fillId="11" borderId="0" xfId="0" applyFont="1" applyFill="1" applyAlignment="1">
      <alignment horizontal="center" vertical="center" wrapText="1"/>
    </xf>
    <xf numFmtId="0" fontId="3" fillId="6" borderId="123" xfId="0" applyFont="1" applyFill="1" applyBorder="1" applyAlignment="1">
      <alignment horizontal="center" vertical="top" wrapText="1"/>
    </xf>
    <xf numFmtId="0" fontId="3" fillId="6" borderId="109" xfId="0" applyFont="1" applyFill="1" applyBorder="1" applyAlignment="1">
      <alignment horizontal="center" vertical="top" wrapText="1"/>
    </xf>
    <xf numFmtId="0" fontId="3" fillId="6" borderId="28" xfId="0" applyFont="1" applyFill="1" applyBorder="1" applyAlignment="1">
      <alignment horizontal="center" vertical="top" wrapText="1"/>
    </xf>
    <xf numFmtId="0" fontId="3" fillId="6" borderId="39" xfId="0" applyFont="1" applyFill="1" applyBorder="1" applyAlignment="1">
      <alignment horizontal="center" vertical="top" wrapText="1"/>
    </xf>
    <xf numFmtId="0" fontId="4" fillId="6" borderId="139" xfId="0" applyFont="1" applyFill="1" applyBorder="1" applyAlignment="1">
      <alignment horizontal="center" vertical="top" wrapText="1"/>
    </xf>
    <xf numFmtId="0" fontId="4" fillId="6" borderId="140" xfId="0" applyFont="1" applyFill="1" applyBorder="1" applyAlignment="1">
      <alignment horizontal="center" vertical="top" wrapText="1"/>
    </xf>
    <xf numFmtId="0" fontId="3" fillId="6" borderId="124" xfId="0" applyFont="1" applyFill="1" applyBorder="1" applyAlignment="1">
      <alignment horizontal="center" vertical="top" wrapText="1"/>
    </xf>
    <xf numFmtId="0" fontId="3" fillId="6" borderId="99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4" fillId="0" borderId="0" xfId="0" applyFont="1" applyBorder="1" applyAlignment="1">
      <alignment horizontal="center"/>
    </xf>
    <xf numFmtId="0" fontId="2" fillId="17" borderId="29" xfId="855" applyFont="1" applyFill="1" applyBorder="1" applyAlignment="1" applyProtection="1">
      <alignment horizontal="center" vertical="center" wrapText="1"/>
      <protection/>
    </xf>
    <xf numFmtId="0" fontId="6" fillId="17" borderId="29" xfId="855" applyFont="1" applyFill="1" applyBorder="1" applyAlignment="1" applyProtection="1">
      <alignment horizontal="center" vertical="center" wrapText="1"/>
      <protection/>
    </xf>
    <xf numFmtId="0" fontId="147" fillId="0" borderId="0" xfId="919" applyFont="1" applyAlignment="1">
      <alignment horizontal="center" vertical="center" wrapText="1"/>
      <protection/>
    </xf>
    <xf numFmtId="0" fontId="3" fillId="17" borderId="29" xfId="855" applyFont="1" applyFill="1" applyBorder="1" applyAlignment="1" applyProtection="1">
      <alignment horizontal="center" vertical="top" wrapText="1"/>
      <protection/>
    </xf>
    <xf numFmtId="0" fontId="3" fillId="17" borderId="29" xfId="855" applyFont="1" applyFill="1" applyBorder="1" applyAlignment="1" applyProtection="1">
      <alignment horizontal="center" vertical="center" wrapText="1"/>
      <protection/>
    </xf>
    <xf numFmtId="0" fontId="3" fillId="17" borderId="29" xfId="919" applyFont="1" applyFill="1" applyBorder="1" applyAlignment="1">
      <alignment horizontal="center" vertical="center" wrapText="1"/>
      <protection/>
    </xf>
    <xf numFmtId="0" fontId="3" fillId="0" borderId="0" xfId="919" applyFont="1" applyAlignment="1">
      <alignment horizontal="right" vertical="center" wrapText="1"/>
      <protection/>
    </xf>
    <xf numFmtId="0" fontId="2" fillId="0" borderId="0" xfId="919" applyFont="1" applyAlignment="1">
      <alignment horizontal="right" vertical="center" wrapText="1"/>
      <protection/>
    </xf>
    <xf numFmtId="0" fontId="3" fillId="0" borderId="0" xfId="919" applyFont="1" applyAlignment="1">
      <alignment horizontal="center" vertical="center" wrapText="1"/>
      <protection/>
    </xf>
    <xf numFmtId="0" fontId="2" fillId="17" borderId="29" xfId="919" applyFont="1" applyFill="1" applyBorder="1" applyAlignment="1">
      <alignment horizontal="center" vertical="center" wrapText="1"/>
      <protection/>
    </xf>
    <xf numFmtId="0" fontId="118" fillId="0" borderId="0" xfId="0" applyFont="1" applyAlignment="1">
      <alignment horizontal="center" vertical="center" wrapText="1"/>
    </xf>
    <xf numFmtId="0" fontId="70" fillId="0" borderId="62" xfId="2078" applyFont="1" applyBorder="1" applyAlignment="1">
      <alignment horizontal="center" vertical="center" wrapText="1"/>
      <protection/>
    </xf>
    <xf numFmtId="0" fontId="70" fillId="0" borderId="68" xfId="2078" applyFont="1" applyBorder="1" applyAlignment="1">
      <alignment horizontal="center" vertical="center" wrapText="1"/>
      <protection/>
    </xf>
    <xf numFmtId="0" fontId="70" fillId="11" borderId="29" xfId="2078" applyFont="1" applyFill="1" applyBorder="1" applyAlignment="1">
      <alignment horizontal="center" vertical="center" wrapText="1"/>
      <protection/>
    </xf>
    <xf numFmtId="0" fontId="97" fillId="0" borderId="29" xfId="2078" applyFont="1" applyBorder="1" applyAlignment="1">
      <alignment horizontal="center" vertical="center" wrapText="1"/>
      <protection/>
    </xf>
    <xf numFmtId="0" fontId="104" fillId="17" borderId="29" xfId="2078" applyFont="1" applyFill="1" applyBorder="1" applyAlignment="1">
      <alignment horizontal="center" vertical="center" wrapText="1"/>
      <protection/>
    </xf>
    <xf numFmtId="0" fontId="10" fillId="0" borderId="29" xfId="2078" applyFont="1" applyBorder="1" applyAlignment="1">
      <alignment horizontal="center" vertical="center" wrapText="1"/>
      <protection/>
    </xf>
    <xf numFmtId="2" fontId="79" fillId="11" borderId="29" xfId="1507" applyNumberFormat="1" applyFont="1" applyFill="1" applyBorder="1" applyAlignment="1">
      <alignment horizontal="center" vertical="center" wrapText="1"/>
      <protection/>
    </xf>
    <xf numFmtId="0" fontId="68" fillId="0" borderId="0" xfId="919" applyFont="1" applyAlignment="1">
      <alignment horizontal="center" vertical="center" wrapText="1"/>
      <protection/>
    </xf>
    <xf numFmtId="0" fontId="7" fillId="0" borderId="0" xfId="919" applyFont="1" applyAlignment="1">
      <alignment horizontal="center" vertical="center" wrapText="1"/>
      <protection/>
    </xf>
    <xf numFmtId="2" fontId="98" fillId="11" borderId="31" xfId="1507" applyNumberFormat="1" applyFont="1" applyFill="1" applyBorder="1" applyAlignment="1">
      <alignment horizontal="center" vertical="center" wrapText="1"/>
      <protection/>
    </xf>
    <xf numFmtId="2" fontId="98" fillId="11" borderId="83" xfId="1507" applyNumberFormat="1" applyFont="1" applyFill="1" applyBorder="1" applyAlignment="1">
      <alignment horizontal="center" vertical="center" wrapText="1"/>
      <protection/>
    </xf>
    <xf numFmtId="2" fontId="98" fillId="11" borderId="72" xfId="1507" applyNumberFormat="1" applyFont="1" applyFill="1" applyBorder="1" applyAlignment="1">
      <alignment horizontal="center" vertical="center" wrapText="1"/>
      <protection/>
    </xf>
    <xf numFmtId="2" fontId="119" fillId="11" borderId="62" xfId="1507" applyNumberFormat="1" applyFont="1" applyFill="1" applyBorder="1" applyAlignment="1">
      <alignment horizontal="center" vertical="center" wrapText="1"/>
      <protection/>
    </xf>
    <xf numFmtId="2" fontId="119" fillId="11" borderId="68" xfId="1507" applyNumberFormat="1" applyFont="1" applyFill="1" applyBorder="1" applyAlignment="1">
      <alignment horizontal="center" vertical="center" wrapText="1"/>
      <protection/>
    </xf>
  </cellXfs>
  <cellStyles count="304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— акцент1" xfId="25"/>
    <cellStyle name="20% - Акцент1 10" xfId="26"/>
    <cellStyle name="20% - Акцент1 11" xfId="27"/>
    <cellStyle name="20% - Акцент1 12" xfId="28"/>
    <cellStyle name="20% - Акцент1 13" xfId="29"/>
    <cellStyle name="20% - Акцент1 14" xfId="30"/>
    <cellStyle name="20% - Акцент1 15" xfId="31"/>
    <cellStyle name="20% - Акцент1 16" xfId="32"/>
    <cellStyle name="20% - Акцент1 17" xfId="33"/>
    <cellStyle name="20% - Акцент1 18" xfId="34"/>
    <cellStyle name="20% - Акцент1 19" xfId="35"/>
    <cellStyle name="20% - Акцент1 2" xfId="36"/>
    <cellStyle name="20% - Акцент1 2 2" xfId="37"/>
    <cellStyle name="20% - Акцент1 2 2 2" xfId="38"/>
    <cellStyle name="20% - Акцент1 2 2 2 2" xfId="39"/>
    <cellStyle name="20% - Акцент1 2 2 3" xfId="40"/>
    <cellStyle name="20% - Акцент1 2 2 4" xfId="41"/>
    <cellStyle name="20% - Акцент1 2 3" xfId="42"/>
    <cellStyle name="20% - Акцент1 2 3 2" xfId="43"/>
    <cellStyle name="20% - Акцент1 2 3 3" xfId="44"/>
    <cellStyle name="20% - Акцент1 2 3 4" xfId="45"/>
    <cellStyle name="20% - Акцент1 2 4" xfId="46"/>
    <cellStyle name="20% - Акцент1 2 4 2" xfId="47"/>
    <cellStyle name="20% - Акцент1 2 4 3" xfId="48"/>
    <cellStyle name="20% - Акцент1 2 5" xfId="49"/>
    <cellStyle name="20% - Акцент1 20" xfId="50"/>
    <cellStyle name="20% - Акцент1 21" xfId="51"/>
    <cellStyle name="20% - Акцент1 22" xfId="52"/>
    <cellStyle name="20% - Акцент1 3" xfId="53"/>
    <cellStyle name="20% - Акцент1 3 2" xfId="54"/>
    <cellStyle name="20% - Акцент1 3 3" xfId="55"/>
    <cellStyle name="20% - Акцент1 3 4" xfId="56"/>
    <cellStyle name="20% - Акцент1 3 5" xfId="57"/>
    <cellStyle name="20% - Акцент1 4" xfId="58"/>
    <cellStyle name="20% - Акцент1 4 2" xfId="59"/>
    <cellStyle name="20% - Акцент1 4 3" xfId="60"/>
    <cellStyle name="20% - Акцент1 5" xfId="61"/>
    <cellStyle name="20% - Акцент1 5 2" xfId="62"/>
    <cellStyle name="20% - Акцент1 5 3" xfId="63"/>
    <cellStyle name="20% - Акцент1 6" xfId="64"/>
    <cellStyle name="20% - Акцент1 6 2" xfId="65"/>
    <cellStyle name="20% - Акцент1 6 3" xfId="66"/>
    <cellStyle name="20% - Акцент1 7" xfId="67"/>
    <cellStyle name="20% - Акцент1 7 2" xfId="68"/>
    <cellStyle name="20% - Акцент1 7 3" xfId="69"/>
    <cellStyle name="20% - Акцент1 8" xfId="70"/>
    <cellStyle name="20% - Акцент1 8 2" xfId="71"/>
    <cellStyle name="20% - Акцент1 9" xfId="72"/>
    <cellStyle name="20% - Акцент1 9 2" xfId="73"/>
    <cellStyle name="20% — акцент2" xfId="74"/>
    <cellStyle name="20% - Акцент2 10" xfId="75"/>
    <cellStyle name="20% - Акцент2 11" xfId="76"/>
    <cellStyle name="20% - Акцент2 12" xfId="77"/>
    <cellStyle name="20% - Акцент2 13" xfId="78"/>
    <cellStyle name="20% - Акцент2 14" xfId="79"/>
    <cellStyle name="20% - Акцент2 15" xfId="80"/>
    <cellStyle name="20% - Акцент2 16" xfId="81"/>
    <cellStyle name="20% - Акцент2 17" xfId="82"/>
    <cellStyle name="20% - Акцент2 18" xfId="83"/>
    <cellStyle name="20% - Акцент2 19" xfId="84"/>
    <cellStyle name="20% - Акцент2 2" xfId="85"/>
    <cellStyle name="20% - Акцент2 2 2" xfId="86"/>
    <cellStyle name="20% - Акцент2 2 2 2" xfId="87"/>
    <cellStyle name="20% - Акцент2 2 2 2 2" xfId="88"/>
    <cellStyle name="20% - Акцент2 2 2 3" xfId="89"/>
    <cellStyle name="20% - Акцент2 2 2 4" xfId="90"/>
    <cellStyle name="20% - Акцент2 2 3" xfId="91"/>
    <cellStyle name="20% - Акцент2 2 3 2" xfId="92"/>
    <cellStyle name="20% - Акцент2 2 3 3" xfId="93"/>
    <cellStyle name="20% - Акцент2 2 3 4" xfId="94"/>
    <cellStyle name="20% - Акцент2 2 4" xfId="95"/>
    <cellStyle name="20% - Акцент2 2 4 2" xfId="96"/>
    <cellStyle name="20% - Акцент2 2 4 3" xfId="97"/>
    <cellStyle name="20% - Акцент2 2 5" xfId="98"/>
    <cellStyle name="20% - Акцент2 20" xfId="99"/>
    <cellStyle name="20% - Акцент2 21" xfId="100"/>
    <cellStyle name="20% - Акцент2 22" xfId="101"/>
    <cellStyle name="20% - Акцент2 3" xfId="102"/>
    <cellStyle name="20% - Акцент2 3 2" xfId="103"/>
    <cellStyle name="20% - Акцент2 3 3" xfId="104"/>
    <cellStyle name="20% - Акцент2 3 4" xfId="105"/>
    <cellStyle name="20% - Акцент2 3 5" xfId="106"/>
    <cellStyle name="20% - Акцент2 4" xfId="107"/>
    <cellStyle name="20% - Акцент2 4 2" xfId="108"/>
    <cellStyle name="20% - Акцент2 4 3" xfId="109"/>
    <cellStyle name="20% - Акцент2 5" xfId="110"/>
    <cellStyle name="20% - Акцент2 5 2" xfId="111"/>
    <cellStyle name="20% - Акцент2 5 3" xfId="112"/>
    <cellStyle name="20% - Акцент2 6" xfId="113"/>
    <cellStyle name="20% - Акцент2 6 2" xfId="114"/>
    <cellStyle name="20% - Акцент2 6 3" xfId="115"/>
    <cellStyle name="20% - Акцент2 7" xfId="116"/>
    <cellStyle name="20% - Акцент2 7 2" xfId="117"/>
    <cellStyle name="20% - Акцент2 7 3" xfId="118"/>
    <cellStyle name="20% - Акцент2 8" xfId="119"/>
    <cellStyle name="20% - Акцент2 8 2" xfId="120"/>
    <cellStyle name="20% - Акцент2 9" xfId="121"/>
    <cellStyle name="20% - Акцент2 9 2" xfId="122"/>
    <cellStyle name="20% — акцент3" xfId="123"/>
    <cellStyle name="20% - Акцент3 10" xfId="124"/>
    <cellStyle name="20% - Акцент3 11" xfId="125"/>
    <cellStyle name="20% - Акцент3 12" xfId="126"/>
    <cellStyle name="20% - Акцент3 13" xfId="127"/>
    <cellStyle name="20% - Акцент3 14" xfId="128"/>
    <cellStyle name="20% - Акцент3 15" xfId="129"/>
    <cellStyle name="20% - Акцент3 16" xfId="130"/>
    <cellStyle name="20% - Акцент3 17" xfId="131"/>
    <cellStyle name="20% - Акцент3 18" xfId="132"/>
    <cellStyle name="20% - Акцент3 19" xfId="133"/>
    <cellStyle name="20% - Акцент3 2" xfId="134"/>
    <cellStyle name="20% - Акцент3 2 2" xfId="135"/>
    <cellStyle name="20% - Акцент3 2 2 2" xfId="136"/>
    <cellStyle name="20% - Акцент3 2 2 2 2" xfId="137"/>
    <cellStyle name="20% - Акцент3 2 2 3" xfId="138"/>
    <cellStyle name="20% - Акцент3 2 2 4" xfId="139"/>
    <cellStyle name="20% - Акцент3 2 3" xfId="140"/>
    <cellStyle name="20% - Акцент3 2 3 2" xfId="141"/>
    <cellStyle name="20% - Акцент3 2 3 3" xfId="142"/>
    <cellStyle name="20% - Акцент3 2 3 4" xfId="143"/>
    <cellStyle name="20% - Акцент3 2 4" xfId="144"/>
    <cellStyle name="20% - Акцент3 2 4 2" xfId="145"/>
    <cellStyle name="20% - Акцент3 2 4 3" xfId="146"/>
    <cellStyle name="20% - Акцент3 2 5" xfId="147"/>
    <cellStyle name="20% - Акцент3 20" xfId="148"/>
    <cellStyle name="20% - Акцент3 21" xfId="149"/>
    <cellStyle name="20% - Акцент3 22" xfId="150"/>
    <cellStyle name="20% - Акцент3 3" xfId="151"/>
    <cellStyle name="20% - Акцент3 3 2" xfId="152"/>
    <cellStyle name="20% - Акцент3 3 3" xfId="153"/>
    <cellStyle name="20% - Акцент3 3 4" xfId="154"/>
    <cellStyle name="20% - Акцент3 3 5" xfId="155"/>
    <cellStyle name="20% - Акцент3 4" xfId="156"/>
    <cellStyle name="20% - Акцент3 4 2" xfId="157"/>
    <cellStyle name="20% - Акцент3 4 3" xfId="158"/>
    <cellStyle name="20% - Акцент3 5" xfId="159"/>
    <cellStyle name="20% - Акцент3 5 2" xfId="160"/>
    <cellStyle name="20% - Акцент3 5 3" xfId="161"/>
    <cellStyle name="20% - Акцент3 6" xfId="162"/>
    <cellStyle name="20% - Акцент3 6 2" xfId="163"/>
    <cellStyle name="20% - Акцент3 6 3" xfId="164"/>
    <cellStyle name="20% - Акцент3 7" xfId="165"/>
    <cellStyle name="20% - Акцент3 7 2" xfId="166"/>
    <cellStyle name="20% - Акцент3 7 3" xfId="167"/>
    <cellStyle name="20% - Акцент3 8" xfId="168"/>
    <cellStyle name="20% - Акцент3 8 2" xfId="169"/>
    <cellStyle name="20% - Акцент3 9" xfId="170"/>
    <cellStyle name="20% - Акцент3 9 2" xfId="171"/>
    <cellStyle name="20% — акцент4" xfId="172"/>
    <cellStyle name="20% - Акцент4 10" xfId="173"/>
    <cellStyle name="20% - Акцент4 11" xfId="174"/>
    <cellStyle name="20% - Акцент4 12" xfId="175"/>
    <cellStyle name="20% - Акцент4 13" xfId="176"/>
    <cellStyle name="20% - Акцент4 14" xfId="177"/>
    <cellStyle name="20% - Акцент4 15" xfId="178"/>
    <cellStyle name="20% - Акцент4 16" xfId="179"/>
    <cellStyle name="20% - Акцент4 17" xfId="180"/>
    <cellStyle name="20% - Акцент4 18" xfId="181"/>
    <cellStyle name="20% - Акцент4 19" xfId="182"/>
    <cellStyle name="20% - Акцент4 2" xfId="183"/>
    <cellStyle name="20% - Акцент4 2 2" xfId="184"/>
    <cellStyle name="20% - Акцент4 2 2 2" xfId="185"/>
    <cellStyle name="20% - Акцент4 2 2 2 2" xfId="186"/>
    <cellStyle name="20% - Акцент4 2 2 3" xfId="187"/>
    <cellStyle name="20% - Акцент4 2 2 4" xfId="188"/>
    <cellStyle name="20% - Акцент4 2 3" xfId="189"/>
    <cellStyle name="20% - Акцент4 2 3 2" xfId="190"/>
    <cellStyle name="20% - Акцент4 2 3 3" xfId="191"/>
    <cellStyle name="20% - Акцент4 2 3 4" xfId="192"/>
    <cellStyle name="20% - Акцент4 2 4" xfId="193"/>
    <cellStyle name="20% - Акцент4 2 4 2" xfId="194"/>
    <cellStyle name="20% - Акцент4 2 4 3" xfId="195"/>
    <cellStyle name="20% - Акцент4 2 5" xfId="196"/>
    <cellStyle name="20% - Акцент4 20" xfId="197"/>
    <cellStyle name="20% - Акцент4 21" xfId="198"/>
    <cellStyle name="20% - Акцент4 22" xfId="199"/>
    <cellStyle name="20% - Акцент4 3" xfId="200"/>
    <cellStyle name="20% - Акцент4 3 2" xfId="201"/>
    <cellStyle name="20% - Акцент4 3 3" xfId="202"/>
    <cellStyle name="20% - Акцент4 3 4" xfId="203"/>
    <cellStyle name="20% - Акцент4 3 5" xfId="204"/>
    <cellStyle name="20% - Акцент4 4" xfId="205"/>
    <cellStyle name="20% - Акцент4 4 2" xfId="206"/>
    <cellStyle name="20% - Акцент4 4 3" xfId="207"/>
    <cellStyle name="20% - Акцент4 5" xfId="208"/>
    <cellStyle name="20% - Акцент4 5 2" xfId="209"/>
    <cellStyle name="20% - Акцент4 5 3" xfId="210"/>
    <cellStyle name="20% - Акцент4 6" xfId="211"/>
    <cellStyle name="20% - Акцент4 6 2" xfId="212"/>
    <cellStyle name="20% - Акцент4 6 3" xfId="213"/>
    <cellStyle name="20% - Акцент4 7" xfId="214"/>
    <cellStyle name="20% - Акцент4 7 2" xfId="215"/>
    <cellStyle name="20% - Акцент4 7 3" xfId="216"/>
    <cellStyle name="20% - Акцент4 8" xfId="217"/>
    <cellStyle name="20% - Акцент4 8 2" xfId="218"/>
    <cellStyle name="20% - Акцент4 9" xfId="219"/>
    <cellStyle name="20% - Акцент4 9 2" xfId="220"/>
    <cellStyle name="20% — акцент5" xfId="221"/>
    <cellStyle name="20% - Акцент5 10" xfId="222"/>
    <cellStyle name="20% - Акцент5 11" xfId="223"/>
    <cellStyle name="20% - Акцент5 12" xfId="224"/>
    <cellStyle name="20% - Акцент5 13" xfId="225"/>
    <cellStyle name="20% - Акцент5 14" xfId="226"/>
    <cellStyle name="20% - Акцент5 15" xfId="227"/>
    <cellStyle name="20% - Акцент5 16" xfId="228"/>
    <cellStyle name="20% - Акцент5 17" xfId="229"/>
    <cellStyle name="20% - Акцент5 18" xfId="230"/>
    <cellStyle name="20% - Акцент5 19" xfId="231"/>
    <cellStyle name="20% - Акцент5 2" xfId="232"/>
    <cellStyle name="20% - Акцент5 2 2" xfId="233"/>
    <cellStyle name="20% - Акцент5 2 2 2" xfId="234"/>
    <cellStyle name="20% - Акцент5 2 2 3" xfId="235"/>
    <cellStyle name="20% - Акцент5 2 3" xfId="236"/>
    <cellStyle name="20% - Акцент5 2 3 2" xfId="237"/>
    <cellStyle name="20% - Акцент5 2 4" xfId="238"/>
    <cellStyle name="20% - Акцент5 2 5" xfId="239"/>
    <cellStyle name="20% - Акцент5 20" xfId="240"/>
    <cellStyle name="20% - Акцент5 21" xfId="241"/>
    <cellStyle name="20% - Акцент5 22" xfId="242"/>
    <cellStyle name="20% - Акцент5 3" xfId="243"/>
    <cellStyle name="20% - Акцент5 3 2" xfId="244"/>
    <cellStyle name="20% - Акцент5 3 3" xfId="245"/>
    <cellStyle name="20% - Акцент5 3 4" xfId="246"/>
    <cellStyle name="20% - Акцент5 3 5" xfId="247"/>
    <cellStyle name="20% - Акцент5 4" xfId="248"/>
    <cellStyle name="20% - Акцент5 4 2" xfId="249"/>
    <cellStyle name="20% - Акцент5 4 3" xfId="250"/>
    <cellStyle name="20% - Акцент5 5" xfId="251"/>
    <cellStyle name="20% - Акцент5 5 2" xfId="252"/>
    <cellStyle name="20% - Акцент5 5 3" xfId="253"/>
    <cellStyle name="20% - Акцент5 6" xfId="254"/>
    <cellStyle name="20% - Акцент5 6 2" xfId="255"/>
    <cellStyle name="20% - Акцент5 6 3" xfId="256"/>
    <cellStyle name="20% - Акцент5 7" xfId="257"/>
    <cellStyle name="20% - Акцент5 7 2" xfId="258"/>
    <cellStyle name="20% - Акцент5 7 3" xfId="259"/>
    <cellStyle name="20% - Акцент5 8" xfId="260"/>
    <cellStyle name="20% - Акцент5 8 2" xfId="261"/>
    <cellStyle name="20% - Акцент5 9" xfId="262"/>
    <cellStyle name="20% - Акцент5 9 2" xfId="263"/>
    <cellStyle name="20% — акцент6" xfId="264"/>
    <cellStyle name="20% - Акцент6 10" xfId="265"/>
    <cellStyle name="20% - Акцент6 11" xfId="266"/>
    <cellStyle name="20% - Акцент6 12" xfId="267"/>
    <cellStyle name="20% - Акцент6 13" xfId="268"/>
    <cellStyle name="20% - Акцент6 14" xfId="269"/>
    <cellStyle name="20% - Акцент6 15" xfId="270"/>
    <cellStyle name="20% - Акцент6 16" xfId="271"/>
    <cellStyle name="20% - Акцент6 17" xfId="272"/>
    <cellStyle name="20% - Акцент6 18" xfId="273"/>
    <cellStyle name="20% - Акцент6 19" xfId="274"/>
    <cellStyle name="20% - Акцент6 2" xfId="275"/>
    <cellStyle name="20% - Акцент6 2 2" xfId="276"/>
    <cellStyle name="20% - Акцент6 2 2 2" xfId="277"/>
    <cellStyle name="20% - Акцент6 2 2 3" xfId="278"/>
    <cellStyle name="20% - Акцент6 2 3" xfId="279"/>
    <cellStyle name="20% - Акцент6 2 3 2" xfId="280"/>
    <cellStyle name="20% - Акцент6 2 4" xfId="281"/>
    <cellStyle name="20% - Акцент6 2 5" xfId="282"/>
    <cellStyle name="20% - Акцент6 20" xfId="283"/>
    <cellStyle name="20% - Акцент6 21" xfId="284"/>
    <cellStyle name="20% - Акцент6 22" xfId="285"/>
    <cellStyle name="20% - Акцент6 3" xfId="286"/>
    <cellStyle name="20% - Акцент6 3 2" xfId="287"/>
    <cellStyle name="20% - Акцент6 3 3" xfId="288"/>
    <cellStyle name="20% - Акцент6 3 4" xfId="289"/>
    <cellStyle name="20% - Акцент6 3 5" xfId="290"/>
    <cellStyle name="20% - Акцент6 4" xfId="291"/>
    <cellStyle name="20% - Акцент6 4 2" xfId="292"/>
    <cellStyle name="20% - Акцент6 4 3" xfId="293"/>
    <cellStyle name="20% - Акцент6 5" xfId="294"/>
    <cellStyle name="20% - Акцент6 5 2" xfId="295"/>
    <cellStyle name="20% - Акцент6 5 3" xfId="296"/>
    <cellStyle name="20% - Акцент6 6" xfId="297"/>
    <cellStyle name="20% - Акцент6 6 2" xfId="298"/>
    <cellStyle name="20% - Акцент6 6 3" xfId="299"/>
    <cellStyle name="20% - Акцент6 7" xfId="300"/>
    <cellStyle name="20% - Акцент6 7 2" xfId="301"/>
    <cellStyle name="20% - Акцент6 7 3" xfId="302"/>
    <cellStyle name="20% - Акцент6 8" xfId="303"/>
    <cellStyle name="20% - Акцент6 8 2" xfId="304"/>
    <cellStyle name="20% - Акцент6 9" xfId="305"/>
    <cellStyle name="20% - Акцент6 9 2" xfId="306"/>
    <cellStyle name="40% - Accent1" xfId="307"/>
    <cellStyle name="40% - Accent1 2" xfId="308"/>
    <cellStyle name="40% - Accent2" xfId="309"/>
    <cellStyle name="40% - Accent2 2" xfId="310"/>
    <cellStyle name="40% - Accent3" xfId="311"/>
    <cellStyle name="40% - Accent3 2" xfId="312"/>
    <cellStyle name="40% - Accent4" xfId="313"/>
    <cellStyle name="40% - Accent4 2" xfId="314"/>
    <cellStyle name="40% - Accent5" xfId="315"/>
    <cellStyle name="40% - Accent5 2" xfId="316"/>
    <cellStyle name="40% - Accent6" xfId="317"/>
    <cellStyle name="40% - Accent6 2" xfId="318"/>
    <cellStyle name="40% — акцент1" xfId="319"/>
    <cellStyle name="40% - Акцент1 10" xfId="320"/>
    <cellStyle name="40% - Акцент1 11" xfId="321"/>
    <cellStyle name="40% - Акцент1 12" xfId="322"/>
    <cellStyle name="40% - Акцент1 13" xfId="323"/>
    <cellStyle name="40% - Акцент1 14" xfId="324"/>
    <cellStyle name="40% - Акцент1 15" xfId="325"/>
    <cellStyle name="40% - Акцент1 16" xfId="326"/>
    <cellStyle name="40% - Акцент1 17" xfId="327"/>
    <cellStyle name="40% - Акцент1 18" xfId="328"/>
    <cellStyle name="40% - Акцент1 19" xfId="329"/>
    <cellStyle name="40% - Акцент1 2" xfId="330"/>
    <cellStyle name="40% - Акцент1 2 2" xfId="331"/>
    <cellStyle name="40% - Акцент1 2 2 2" xfId="332"/>
    <cellStyle name="40% - Акцент1 2 2 3" xfId="333"/>
    <cellStyle name="40% - Акцент1 2 3" xfId="334"/>
    <cellStyle name="40% - Акцент1 2 3 2" xfId="335"/>
    <cellStyle name="40% - Акцент1 2 4" xfId="336"/>
    <cellStyle name="40% - Акцент1 2 5" xfId="337"/>
    <cellStyle name="40% - Акцент1 20" xfId="338"/>
    <cellStyle name="40% - Акцент1 21" xfId="339"/>
    <cellStyle name="40% - Акцент1 22" xfId="340"/>
    <cellStyle name="40% - Акцент1 3" xfId="341"/>
    <cellStyle name="40% - Акцент1 3 2" xfId="342"/>
    <cellStyle name="40% - Акцент1 3 3" xfId="343"/>
    <cellStyle name="40% - Акцент1 3 4" xfId="344"/>
    <cellStyle name="40% - Акцент1 3 5" xfId="345"/>
    <cellStyle name="40% - Акцент1 4" xfId="346"/>
    <cellStyle name="40% - Акцент1 4 2" xfId="347"/>
    <cellStyle name="40% - Акцент1 4 3" xfId="348"/>
    <cellStyle name="40% - Акцент1 5" xfId="349"/>
    <cellStyle name="40% - Акцент1 5 2" xfId="350"/>
    <cellStyle name="40% - Акцент1 5 3" xfId="351"/>
    <cellStyle name="40% - Акцент1 6" xfId="352"/>
    <cellStyle name="40% - Акцент1 6 2" xfId="353"/>
    <cellStyle name="40% - Акцент1 6 3" xfId="354"/>
    <cellStyle name="40% - Акцент1 7" xfId="355"/>
    <cellStyle name="40% - Акцент1 7 2" xfId="356"/>
    <cellStyle name="40% - Акцент1 7 3" xfId="357"/>
    <cellStyle name="40% - Акцент1 8" xfId="358"/>
    <cellStyle name="40% - Акцент1 8 2" xfId="359"/>
    <cellStyle name="40% - Акцент1 9" xfId="360"/>
    <cellStyle name="40% - Акцент1 9 2" xfId="361"/>
    <cellStyle name="40% — акцент2" xfId="362"/>
    <cellStyle name="40% - Акцент2 10" xfId="363"/>
    <cellStyle name="40% - Акцент2 11" xfId="364"/>
    <cellStyle name="40% - Акцент2 12" xfId="365"/>
    <cellStyle name="40% - Акцент2 13" xfId="366"/>
    <cellStyle name="40% - Акцент2 14" xfId="367"/>
    <cellStyle name="40% - Акцент2 15" xfId="368"/>
    <cellStyle name="40% - Акцент2 16" xfId="369"/>
    <cellStyle name="40% - Акцент2 17" xfId="370"/>
    <cellStyle name="40% - Акцент2 18" xfId="371"/>
    <cellStyle name="40% - Акцент2 19" xfId="372"/>
    <cellStyle name="40% - Акцент2 2" xfId="373"/>
    <cellStyle name="40% - Акцент2 2 2" xfId="374"/>
    <cellStyle name="40% - Акцент2 2 2 2" xfId="375"/>
    <cellStyle name="40% - Акцент2 2 2 3" xfId="376"/>
    <cellStyle name="40% - Акцент2 2 3" xfId="377"/>
    <cellStyle name="40% - Акцент2 2 3 2" xfId="378"/>
    <cellStyle name="40% - Акцент2 2 4" xfId="379"/>
    <cellStyle name="40% - Акцент2 2 5" xfId="380"/>
    <cellStyle name="40% - Акцент2 20" xfId="381"/>
    <cellStyle name="40% - Акцент2 21" xfId="382"/>
    <cellStyle name="40% - Акцент2 22" xfId="383"/>
    <cellStyle name="40% - Акцент2 3" xfId="384"/>
    <cellStyle name="40% - Акцент2 3 2" xfId="385"/>
    <cellStyle name="40% - Акцент2 3 3" xfId="386"/>
    <cellStyle name="40% - Акцент2 3 4" xfId="387"/>
    <cellStyle name="40% - Акцент2 3 5" xfId="388"/>
    <cellStyle name="40% - Акцент2 4" xfId="389"/>
    <cellStyle name="40% - Акцент2 4 2" xfId="390"/>
    <cellStyle name="40% - Акцент2 4 3" xfId="391"/>
    <cellStyle name="40% - Акцент2 5" xfId="392"/>
    <cellStyle name="40% - Акцент2 5 2" xfId="393"/>
    <cellStyle name="40% - Акцент2 5 3" xfId="394"/>
    <cellStyle name="40% - Акцент2 6" xfId="395"/>
    <cellStyle name="40% - Акцент2 6 2" xfId="396"/>
    <cellStyle name="40% - Акцент2 6 3" xfId="397"/>
    <cellStyle name="40% - Акцент2 7" xfId="398"/>
    <cellStyle name="40% - Акцент2 7 2" xfId="399"/>
    <cellStyle name="40% - Акцент2 7 3" xfId="400"/>
    <cellStyle name="40% - Акцент2 8" xfId="401"/>
    <cellStyle name="40% - Акцент2 8 2" xfId="402"/>
    <cellStyle name="40% - Акцент2 9" xfId="403"/>
    <cellStyle name="40% - Акцент2 9 2" xfId="404"/>
    <cellStyle name="40% — акцент3" xfId="405"/>
    <cellStyle name="40% - Акцент3 10" xfId="406"/>
    <cellStyle name="40% - Акцент3 11" xfId="407"/>
    <cellStyle name="40% - Акцент3 12" xfId="408"/>
    <cellStyle name="40% - Акцент3 13" xfId="409"/>
    <cellStyle name="40% - Акцент3 14" xfId="410"/>
    <cellStyle name="40% - Акцент3 15" xfId="411"/>
    <cellStyle name="40% - Акцент3 16" xfId="412"/>
    <cellStyle name="40% - Акцент3 17" xfId="413"/>
    <cellStyle name="40% - Акцент3 18" xfId="414"/>
    <cellStyle name="40% - Акцент3 19" xfId="415"/>
    <cellStyle name="40% - Акцент3 2" xfId="416"/>
    <cellStyle name="40% - Акцент3 2 2" xfId="417"/>
    <cellStyle name="40% - Акцент3 2 2 2" xfId="418"/>
    <cellStyle name="40% - Акцент3 2 2 2 2" xfId="419"/>
    <cellStyle name="40% - Акцент3 2 2 3" xfId="420"/>
    <cellStyle name="40% - Акцент3 2 2 4" xfId="421"/>
    <cellStyle name="40% - Акцент3 2 3" xfId="422"/>
    <cellStyle name="40% - Акцент3 2 3 2" xfId="423"/>
    <cellStyle name="40% - Акцент3 2 3 3" xfId="424"/>
    <cellStyle name="40% - Акцент3 2 3 4" xfId="425"/>
    <cellStyle name="40% - Акцент3 2 4" xfId="426"/>
    <cellStyle name="40% - Акцент3 2 4 2" xfId="427"/>
    <cellStyle name="40% - Акцент3 2 4 3" xfId="428"/>
    <cellStyle name="40% - Акцент3 2 5" xfId="429"/>
    <cellStyle name="40% - Акцент3 20" xfId="430"/>
    <cellStyle name="40% - Акцент3 21" xfId="431"/>
    <cellStyle name="40% - Акцент3 22" xfId="432"/>
    <cellStyle name="40% - Акцент3 3" xfId="433"/>
    <cellStyle name="40% - Акцент3 3 2" xfId="434"/>
    <cellStyle name="40% - Акцент3 3 3" xfId="435"/>
    <cellStyle name="40% - Акцент3 3 4" xfId="436"/>
    <cellStyle name="40% - Акцент3 3 5" xfId="437"/>
    <cellStyle name="40% - Акцент3 4" xfId="438"/>
    <cellStyle name="40% - Акцент3 4 2" xfId="439"/>
    <cellStyle name="40% - Акцент3 4 3" xfId="440"/>
    <cellStyle name="40% - Акцент3 5" xfId="441"/>
    <cellStyle name="40% - Акцент3 5 2" xfId="442"/>
    <cellStyle name="40% - Акцент3 5 3" xfId="443"/>
    <cellStyle name="40% - Акцент3 6" xfId="444"/>
    <cellStyle name="40% - Акцент3 6 2" xfId="445"/>
    <cellStyle name="40% - Акцент3 6 3" xfId="446"/>
    <cellStyle name="40% - Акцент3 7" xfId="447"/>
    <cellStyle name="40% - Акцент3 7 2" xfId="448"/>
    <cellStyle name="40% - Акцент3 7 3" xfId="449"/>
    <cellStyle name="40% - Акцент3 8" xfId="450"/>
    <cellStyle name="40% - Акцент3 8 2" xfId="451"/>
    <cellStyle name="40% - Акцент3 9" xfId="452"/>
    <cellStyle name="40% - Акцент3 9 2" xfId="453"/>
    <cellStyle name="40% — акцент4" xfId="454"/>
    <cellStyle name="40% - Акцент4 10" xfId="455"/>
    <cellStyle name="40% - Акцент4 11" xfId="456"/>
    <cellStyle name="40% - Акцент4 12" xfId="457"/>
    <cellStyle name="40% - Акцент4 13" xfId="458"/>
    <cellStyle name="40% - Акцент4 14" xfId="459"/>
    <cellStyle name="40% - Акцент4 15" xfId="460"/>
    <cellStyle name="40% - Акцент4 16" xfId="461"/>
    <cellStyle name="40% - Акцент4 17" xfId="462"/>
    <cellStyle name="40% - Акцент4 18" xfId="463"/>
    <cellStyle name="40% - Акцент4 19" xfId="464"/>
    <cellStyle name="40% - Акцент4 2" xfId="465"/>
    <cellStyle name="40% - Акцент4 2 2" xfId="466"/>
    <cellStyle name="40% - Акцент4 2 2 2" xfId="467"/>
    <cellStyle name="40% - Акцент4 2 2 3" xfId="468"/>
    <cellStyle name="40% - Акцент4 2 3" xfId="469"/>
    <cellStyle name="40% - Акцент4 2 3 2" xfId="470"/>
    <cellStyle name="40% - Акцент4 2 4" xfId="471"/>
    <cellStyle name="40% - Акцент4 2 5" xfId="472"/>
    <cellStyle name="40% - Акцент4 20" xfId="473"/>
    <cellStyle name="40% - Акцент4 21" xfId="474"/>
    <cellStyle name="40% - Акцент4 22" xfId="475"/>
    <cellStyle name="40% - Акцент4 3" xfId="476"/>
    <cellStyle name="40% - Акцент4 3 2" xfId="477"/>
    <cellStyle name="40% - Акцент4 3 3" xfId="478"/>
    <cellStyle name="40% - Акцент4 3 4" xfId="479"/>
    <cellStyle name="40% - Акцент4 3 5" xfId="480"/>
    <cellStyle name="40% - Акцент4 4" xfId="481"/>
    <cellStyle name="40% - Акцент4 4 2" xfId="482"/>
    <cellStyle name="40% - Акцент4 4 3" xfId="483"/>
    <cellStyle name="40% - Акцент4 5" xfId="484"/>
    <cellStyle name="40% - Акцент4 5 2" xfId="485"/>
    <cellStyle name="40% - Акцент4 5 3" xfId="486"/>
    <cellStyle name="40% - Акцент4 6" xfId="487"/>
    <cellStyle name="40% - Акцент4 6 2" xfId="488"/>
    <cellStyle name="40% - Акцент4 6 3" xfId="489"/>
    <cellStyle name="40% - Акцент4 7" xfId="490"/>
    <cellStyle name="40% - Акцент4 7 2" xfId="491"/>
    <cellStyle name="40% - Акцент4 7 3" xfId="492"/>
    <cellStyle name="40% - Акцент4 8" xfId="493"/>
    <cellStyle name="40% - Акцент4 8 2" xfId="494"/>
    <cellStyle name="40% - Акцент4 9" xfId="495"/>
    <cellStyle name="40% - Акцент4 9 2" xfId="496"/>
    <cellStyle name="40% — акцент5" xfId="497"/>
    <cellStyle name="40% - Акцент5 10" xfId="498"/>
    <cellStyle name="40% - Акцент5 11" xfId="499"/>
    <cellStyle name="40% - Акцент5 12" xfId="500"/>
    <cellStyle name="40% - Акцент5 13" xfId="501"/>
    <cellStyle name="40% - Акцент5 14" xfId="502"/>
    <cellStyle name="40% - Акцент5 15" xfId="503"/>
    <cellStyle name="40% - Акцент5 16" xfId="504"/>
    <cellStyle name="40% - Акцент5 17" xfId="505"/>
    <cellStyle name="40% - Акцент5 18" xfId="506"/>
    <cellStyle name="40% - Акцент5 19" xfId="507"/>
    <cellStyle name="40% - Акцент5 2" xfId="508"/>
    <cellStyle name="40% - Акцент5 2 2" xfId="509"/>
    <cellStyle name="40% - Акцент5 2 2 2" xfId="510"/>
    <cellStyle name="40% - Акцент5 2 2 3" xfId="511"/>
    <cellStyle name="40% - Акцент5 2 3" xfId="512"/>
    <cellStyle name="40% - Акцент5 2 3 2" xfId="513"/>
    <cellStyle name="40% - Акцент5 2 4" xfId="514"/>
    <cellStyle name="40% - Акцент5 2 5" xfId="515"/>
    <cellStyle name="40% - Акцент5 20" xfId="516"/>
    <cellStyle name="40% - Акцент5 21" xfId="517"/>
    <cellStyle name="40% - Акцент5 22" xfId="518"/>
    <cellStyle name="40% - Акцент5 3" xfId="519"/>
    <cellStyle name="40% - Акцент5 3 2" xfId="520"/>
    <cellStyle name="40% - Акцент5 3 3" xfId="521"/>
    <cellStyle name="40% - Акцент5 3 4" xfId="522"/>
    <cellStyle name="40% - Акцент5 3 5" xfId="523"/>
    <cellStyle name="40% - Акцент5 4" xfId="524"/>
    <cellStyle name="40% - Акцент5 4 2" xfId="525"/>
    <cellStyle name="40% - Акцент5 4 3" xfId="526"/>
    <cellStyle name="40% - Акцент5 5" xfId="527"/>
    <cellStyle name="40% - Акцент5 5 2" xfId="528"/>
    <cellStyle name="40% - Акцент5 5 3" xfId="529"/>
    <cellStyle name="40% - Акцент5 6" xfId="530"/>
    <cellStyle name="40% - Акцент5 6 2" xfId="531"/>
    <cellStyle name="40% - Акцент5 6 3" xfId="532"/>
    <cellStyle name="40% - Акцент5 7" xfId="533"/>
    <cellStyle name="40% - Акцент5 7 2" xfId="534"/>
    <cellStyle name="40% - Акцент5 7 3" xfId="535"/>
    <cellStyle name="40% - Акцент5 8" xfId="536"/>
    <cellStyle name="40% - Акцент5 8 2" xfId="537"/>
    <cellStyle name="40% - Акцент5 9" xfId="538"/>
    <cellStyle name="40% - Акцент5 9 2" xfId="539"/>
    <cellStyle name="40% — акцент6" xfId="540"/>
    <cellStyle name="40% - Акцент6 10" xfId="541"/>
    <cellStyle name="40% - Акцент6 11" xfId="542"/>
    <cellStyle name="40% - Акцент6 12" xfId="543"/>
    <cellStyle name="40% - Акцент6 13" xfId="544"/>
    <cellStyle name="40% - Акцент6 14" xfId="545"/>
    <cellStyle name="40% - Акцент6 15" xfId="546"/>
    <cellStyle name="40% - Акцент6 16" xfId="547"/>
    <cellStyle name="40% - Акцент6 17" xfId="548"/>
    <cellStyle name="40% - Акцент6 18" xfId="549"/>
    <cellStyle name="40% - Акцент6 19" xfId="550"/>
    <cellStyle name="40% - Акцент6 2" xfId="551"/>
    <cellStyle name="40% - Акцент6 2 2" xfId="552"/>
    <cellStyle name="40% - Акцент6 2 2 2" xfId="553"/>
    <cellStyle name="40% - Акцент6 2 2 3" xfId="554"/>
    <cellStyle name="40% - Акцент6 2 3" xfId="555"/>
    <cellStyle name="40% - Акцент6 2 3 2" xfId="556"/>
    <cellStyle name="40% - Акцент6 2 4" xfId="557"/>
    <cellStyle name="40% - Акцент6 2 5" xfId="558"/>
    <cellStyle name="40% - Акцент6 20" xfId="559"/>
    <cellStyle name="40% - Акцент6 21" xfId="560"/>
    <cellStyle name="40% - Акцент6 22" xfId="561"/>
    <cellStyle name="40% - Акцент6 3" xfId="562"/>
    <cellStyle name="40% - Акцент6 3 2" xfId="563"/>
    <cellStyle name="40% - Акцент6 3 3" xfId="564"/>
    <cellStyle name="40% - Акцент6 3 4" xfId="565"/>
    <cellStyle name="40% - Акцент6 3 5" xfId="566"/>
    <cellStyle name="40% - Акцент6 4" xfId="567"/>
    <cellStyle name="40% - Акцент6 4 2" xfId="568"/>
    <cellStyle name="40% - Акцент6 4 3" xfId="569"/>
    <cellStyle name="40% - Акцент6 5" xfId="570"/>
    <cellStyle name="40% - Акцент6 5 2" xfId="571"/>
    <cellStyle name="40% - Акцент6 5 3" xfId="572"/>
    <cellStyle name="40% - Акцент6 6" xfId="573"/>
    <cellStyle name="40% - Акцент6 6 2" xfId="574"/>
    <cellStyle name="40% - Акцент6 6 3" xfId="575"/>
    <cellStyle name="40% - Акцент6 7" xfId="576"/>
    <cellStyle name="40% - Акцент6 7 2" xfId="577"/>
    <cellStyle name="40% - Акцент6 7 3" xfId="578"/>
    <cellStyle name="40% - Акцент6 8" xfId="579"/>
    <cellStyle name="40% - Акцент6 8 2" xfId="580"/>
    <cellStyle name="40% - Акцент6 9" xfId="581"/>
    <cellStyle name="40% - Акцент6 9 2" xfId="582"/>
    <cellStyle name="60% - Accent1" xfId="583"/>
    <cellStyle name="60% - Accent1 2" xfId="584"/>
    <cellStyle name="60% - Accent2" xfId="585"/>
    <cellStyle name="60% - Accent2 2" xfId="586"/>
    <cellStyle name="60% - Accent3" xfId="587"/>
    <cellStyle name="60% - Accent3 2" xfId="588"/>
    <cellStyle name="60% - Accent4" xfId="589"/>
    <cellStyle name="60% - Accent4 2" xfId="590"/>
    <cellStyle name="60% - Accent5" xfId="591"/>
    <cellStyle name="60% - Accent5 2" xfId="592"/>
    <cellStyle name="60% - Accent6" xfId="593"/>
    <cellStyle name="60% - Accent6 2" xfId="594"/>
    <cellStyle name="60% — акцент1" xfId="595"/>
    <cellStyle name="60% - Акцент1 2" xfId="596"/>
    <cellStyle name="60% - Акцент1 3" xfId="597"/>
    <cellStyle name="60% - Акцент1 4" xfId="598"/>
    <cellStyle name="60% — акцент2" xfId="599"/>
    <cellStyle name="60% - Акцент2 2" xfId="600"/>
    <cellStyle name="60% - Акцент2 3" xfId="601"/>
    <cellStyle name="60% - Акцент2 4" xfId="602"/>
    <cellStyle name="60% — акцент3" xfId="603"/>
    <cellStyle name="60% - Акцент3 2" xfId="604"/>
    <cellStyle name="60% - Акцент3 2 2" xfId="605"/>
    <cellStyle name="60% - Акцент3 2 3" xfId="606"/>
    <cellStyle name="60% - Акцент3 3" xfId="607"/>
    <cellStyle name="60% - Акцент3 4" xfId="608"/>
    <cellStyle name="60% — акцент4" xfId="609"/>
    <cellStyle name="60% - Акцент4 2" xfId="610"/>
    <cellStyle name="60% - Акцент4 2 2" xfId="611"/>
    <cellStyle name="60% - Акцент4 2 3" xfId="612"/>
    <cellStyle name="60% - Акцент4 3" xfId="613"/>
    <cellStyle name="60% - Акцент4 4" xfId="614"/>
    <cellStyle name="60% — акцент5" xfId="615"/>
    <cellStyle name="60% - Акцент5 2" xfId="616"/>
    <cellStyle name="60% - Акцент5 3" xfId="617"/>
    <cellStyle name="60% - Акцент5 4" xfId="618"/>
    <cellStyle name="60% — акцент6" xfId="619"/>
    <cellStyle name="60% - Акцент6 2" xfId="620"/>
    <cellStyle name="60% - Акцент6 2 2" xfId="621"/>
    <cellStyle name="60% - Акцент6 2 3" xfId="622"/>
    <cellStyle name="60% - Акцент6 3" xfId="623"/>
    <cellStyle name="60% - Акцент6 4" xfId="624"/>
    <cellStyle name="Accent1" xfId="625"/>
    <cellStyle name="Accent1 2" xfId="626"/>
    <cellStyle name="Accent2" xfId="627"/>
    <cellStyle name="Accent2 2" xfId="628"/>
    <cellStyle name="Accent3" xfId="629"/>
    <cellStyle name="Accent3 2" xfId="630"/>
    <cellStyle name="Accent4" xfId="631"/>
    <cellStyle name="Accent4 2" xfId="632"/>
    <cellStyle name="Accent5" xfId="633"/>
    <cellStyle name="Accent5 2" xfId="634"/>
    <cellStyle name="Accent6" xfId="635"/>
    <cellStyle name="Accent6 2" xfId="636"/>
    <cellStyle name="Bad" xfId="637"/>
    <cellStyle name="Calculation" xfId="638"/>
    <cellStyle name="Calculation 2" xfId="639"/>
    <cellStyle name="Check Cell" xfId="640"/>
    <cellStyle name="Check Cell 2" xfId="641"/>
    <cellStyle name="Comma" xfId="642"/>
    <cellStyle name="Comma [0]" xfId="643"/>
    <cellStyle name="Comma [0] 2" xfId="644"/>
    <cellStyle name="Comma [0]_Forma" xfId="645"/>
    <cellStyle name="Comma 10" xfId="646"/>
    <cellStyle name="Comma 11" xfId="647"/>
    <cellStyle name="Comma 12" xfId="648"/>
    <cellStyle name="Comma 13" xfId="649"/>
    <cellStyle name="Comma 14" xfId="650"/>
    <cellStyle name="Comma 15" xfId="651"/>
    <cellStyle name="Comma 16" xfId="652"/>
    <cellStyle name="Comma 17" xfId="653"/>
    <cellStyle name="Comma 18" xfId="654"/>
    <cellStyle name="Comma 19" xfId="655"/>
    <cellStyle name="Comma 2" xfId="656"/>
    <cellStyle name="Comma 20" xfId="657"/>
    <cellStyle name="Comma 20 2" xfId="658"/>
    <cellStyle name="Comma 21" xfId="659"/>
    <cellStyle name="Comma 21 2" xfId="660"/>
    <cellStyle name="Comma 22" xfId="661"/>
    <cellStyle name="Comma 22 2" xfId="662"/>
    <cellStyle name="Comma 23" xfId="663"/>
    <cellStyle name="Comma 23 2" xfId="664"/>
    <cellStyle name="Comma 24" xfId="665"/>
    <cellStyle name="Comma 24 2" xfId="666"/>
    <cellStyle name="Comma 25" xfId="667"/>
    <cellStyle name="Comma 25 2" xfId="668"/>
    <cellStyle name="Comma 3" xfId="669"/>
    <cellStyle name="Comma 4" xfId="670"/>
    <cellStyle name="Comma 5" xfId="671"/>
    <cellStyle name="Comma 6" xfId="672"/>
    <cellStyle name="Comma 7" xfId="673"/>
    <cellStyle name="Comma 8" xfId="674"/>
    <cellStyle name="Comma 9" xfId="675"/>
    <cellStyle name="Comma_Forma" xfId="676"/>
    <cellStyle name="Currency" xfId="677"/>
    <cellStyle name="Currency [0]" xfId="678"/>
    <cellStyle name="Currency [0] 2" xfId="679"/>
    <cellStyle name="Currency [0]_Forma" xfId="680"/>
    <cellStyle name="Currency 10" xfId="681"/>
    <cellStyle name="Currency 11" xfId="682"/>
    <cellStyle name="Currency 12" xfId="683"/>
    <cellStyle name="Currency 13" xfId="684"/>
    <cellStyle name="Currency 14" xfId="685"/>
    <cellStyle name="Currency 15" xfId="686"/>
    <cellStyle name="Currency 16" xfId="687"/>
    <cellStyle name="Currency 17" xfId="688"/>
    <cellStyle name="Currency 18" xfId="689"/>
    <cellStyle name="Currency 19" xfId="690"/>
    <cellStyle name="Currency 2" xfId="691"/>
    <cellStyle name="Currency 20" xfId="692"/>
    <cellStyle name="Currency 20 2" xfId="693"/>
    <cellStyle name="Currency 21" xfId="694"/>
    <cellStyle name="Currency 21 2" xfId="695"/>
    <cellStyle name="Currency 22" xfId="696"/>
    <cellStyle name="Currency 22 2" xfId="697"/>
    <cellStyle name="Currency 23" xfId="698"/>
    <cellStyle name="Currency 23 2" xfId="699"/>
    <cellStyle name="Currency 24" xfId="700"/>
    <cellStyle name="Currency 24 2" xfId="701"/>
    <cellStyle name="Currency 25" xfId="702"/>
    <cellStyle name="Currency 25 2" xfId="703"/>
    <cellStyle name="Currency 3" xfId="704"/>
    <cellStyle name="Currency 4" xfId="705"/>
    <cellStyle name="Currency 5" xfId="706"/>
    <cellStyle name="Currency 6" xfId="707"/>
    <cellStyle name="Currency 7" xfId="708"/>
    <cellStyle name="Currency 8" xfId="709"/>
    <cellStyle name="Currency 9" xfId="710"/>
    <cellStyle name="Currency_Forma" xfId="711"/>
    <cellStyle name="Date" xfId="712"/>
    <cellStyle name="Explanatory Text" xfId="713"/>
    <cellStyle name="Fixed" xfId="714"/>
    <cellStyle name="Good" xfId="715"/>
    <cellStyle name="Heading 1" xfId="716"/>
    <cellStyle name="Heading 1 2" xfId="717"/>
    <cellStyle name="Heading 2" xfId="718"/>
    <cellStyle name="Heading 2 2" xfId="719"/>
    <cellStyle name="Heading 3" xfId="720"/>
    <cellStyle name="Heading 3 2" xfId="721"/>
    <cellStyle name="Heading 4" xfId="722"/>
    <cellStyle name="Heading 4 2" xfId="723"/>
    <cellStyle name="Heading1" xfId="724"/>
    <cellStyle name="Heading2" xfId="725"/>
    <cellStyle name="Îáű÷íűé_ÂŰŐÎÄ" xfId="726"/>
    <cellStyle name="Input" xfId="727"/>
    <cellStyle name="Input 2" xfId="728"/>
    <cellStyle name="Linked Cell" xfId="729"/>
    <cellStyle name="Neutral" xfId="730"/>
    <cellStyle name="Normal" xfId="731"/>
    <cellStyle name="Normal 2" xfId="732"/>
    <cellStyle name="Normal 2 2" xfId="733"/>
    <cellStyle name="Normal 2 2 2" xfId="734"/>
    <cellStyle name="Normal 2 2 2 2" xfId="735"/>
    <cellStyle name="Normal 2 2 2 3" xfId="736"/>
    <cellStyle name="Normal 2 2 3" xfId="737"/>
    <cellStyle name="Normal 2 2 3 2" xfId="738"/>
    <cellStyle name="Normal 2 2 3 3" xfId="739"/>
    <cellStyle name="Normal 2 2 4" xfId="740"/>
    <cellStyle name="Normal 2 2 5" xfId="741"/>
    <cellStyle name="Normal 2 3" xfId="742"/>
    <cellStyle name="Normal 2 3 2" xfId="743"/>
    <cellStyle name="Normal 2 3 3" xfId="744"/>
    <cellStyle name="Normal 2 4" xfId="745"/>
    <cellStyle name="Normal 3" xfId="746"/>
    <cellStyle name="Normal 3 2" xfId="747"/>
    <cellStyle name="Normal 3 2 2" xfId="748"/>
    <cellStyle name="Normal 3 2 3" xfId="749"/>
    <cellStyle name="Normal 3 3" xfId="750"/>
    <cellStyle name="Normal 3 3 2" xfId="751"/>
    <cellStyle name="Normal 3 3 3" xfId="752"/>
    <cellStyle name="Normal 3 4" xfId="753"/>
    <cellStyle name="Normal 3 4 2" xfId="754"/>
    <cellStyle name="Normal 3 4 3" xfId="755"/>
    <cellStyle name="Normal 4" xfId="756"/>
    <cellStyle name="Normal 4 2" xfId="757"/>
    <cellStyle name="Normal 4 3" xfId="758"/>
    <cellStyle name="Normal 5" xfId="759"/>
    <cellStyle name="Normal 5 2" xfId="760"/>
    <cellStyle name="Note" xfId="761"/>
    <cellStyle name="Note 2" xfId="762"/>
    <cellStyle name="Output" xfId="763"/>
    <cellStyle name="Output 2" xfId="764"/>
    <cellStyle name="Percent" xfId="765"/>
    <cellStyle name="Percent 2" xfId="766"/>
    <cellStyle name="Percent 3" xfId="767"/>
    <cellStyle name="Percent 3 2" xfId="768"/>
    <cellStyle name="Title" xfId="769"/>
    <cellStyle name="Title 2" xfId="770"/>
    <cellStyle name="Total" xfId="771"/>
    <cellStyle name="Total 2" xfId="772"/>
    <cellStyle name="Total 3" xfId="773"/>
    <cellStyle name="Total 4" xfId="774"/>
    <cellStyle name="Warning Text" xfId="775"/>
    <cellStyle name="Акцент1" xfId="776"/>
    <cellStyle name="Акцент1 2" xfId="777"/>
    <cellStyle name="Акцент1 3" xfId="778"/>
    <cellStyle name="Акцент1 4" xfId="779"/>
    <cellStyle name="Акцент2" xfId="780"/>
    <cellStyle name="Акцент2 2" xfId="781"/>
    <cellStyle name="Акцент2 3" xfId="782"/>
    <cellStyle name="Акцент2 4" xfId="783"/>
    <cellStyle name="Акцент3" xfId="784"/>
    <cellStyle name="Акцент3 2" xfId="785"/>
    <cellStyle name="Акцент3 3" xfId="786"/>
    <cellStyle name="Акцент3 4" xfId="787"/>
    <cellStyle name="Акцент4" xfId="788"/>
    <cellStyle name="Акцент4 2" xfId="789"/>
    <cellStyle name="Акцент4 3" xfId="790"/>
    <cellStyle name="Акцент4 4" xfId="791"/>
    <cellStyle name="Акцент5" xfId="792"/>
    <cellStyle name="Акцент5 2" xfId="793"/>
    <cellStyle name="Акцент5 3" xfId="794"/>
    <cellStyle name="Акцент5 4" xfId="795"/>
    <cellStyle name="Акцент6" xfId="796"/>
    <cellStyle name="Акцент6 2" xfId="797"/>
    <cellStyle name="Акцент6 3" xfId="798"/>
    <cellStyle name="Акцент6 4" xfId="799"/>
    <cellStyle name="Ввод " xfId="800"/>
    <cellStyle name="Ввод  2" xfId="801"/>
    <cellStyle name="Ввод  3" xfId="802"/>
    <cellStyle name="Ввод  4" xfId="803"/>
    <cellStyle name="Вывод" xfId="804"/>
    <cellStyle name="Вывод 2" xfId="805"/>
    <cellStyle name="Вывод 3" xfId="806"/>
    <cellStyle name="Вывод 4" xfId="807"/>
    <cellStyle name="Вычисление" xfId="808"/>
    <cellStyle name="Вычисление 2" xfId="809"/>
    <cellStyle name="Вычисление 3" xfId="810"/>
    <cellStyle name="Вычисление 4" xfId="811"/>
    <cellStyle name="Hyperlink" xfId="812"/>
    <cellStyle name="Гиперссылка 2" xfId="813"/>
    <cellStyle name="Currency" xfId="814"/>
    <cellStyle name="Currency [0]" xfId="815"/>
    <cellStyle name="Денежный 2" xfId="816"/>
    <cellStyle name="Денежный 2 2" xfId="817"/>
    <cellStyle name="Денежный 3" xfId="818"/>
    <cellStyle name="Заголовок" xfId="819"/>
    <cellStyle name="Заголовок 1" xfId="820"/>
    <cellStyle name="Заголовок 1 2" xfId="821"/>
    <cellStyle name="Заголовок 1 3" xfId="822"/>
    <cellStyle name="Заголовок 1 4" xfId="823"/>
    <cellStyle name="Заголовок 2" xfId="824"/>
    <cellStyle name="Заголовок 2 2" xfId="825"/>
    <cellStyle name="Заголовок 2 3" xfId="826"/>
    <cellStyle name="Заголовок 2 4" xfId="827"/>
    <cellStyle name="Заголовок 3" xfId="828"/>
    <cellStyle name="Заголовок 3 2" xfId="829"/>
    <cellStyle name="Заголовок 3 3" xfId="830"/>
    <cellStyle name="Заголовок 3 4" xfId="831"/>
    <cellStyle name="Заголовок 4" xfId="832"/>
    <cellStyle name="Заголовок 4 2" xfId="833"/>
    <cellStyle name="Заголовок 4 3" xfId="834"/>
    <cellStyle name="Заголовок 4 4" xfId="835"/>
    <cellStyle name="Итог" xfId="836"/>
    <cellStyle name="Итог 2" xfId="837"/>
    <cellStyle name="Итог 3" xfId="838"/>
    <cellStyle name="Итог 4" xfId="839"/>
    <cellStyle name="Контрольная ячейка" xfId="840"/>
    <cellStyle name="Контрольная ячейка 2" xfId="841"/>
    <cellStyle name="Контрольная ячейка 3" xfId="842"/>
    <cellStyle name="Контрольная ячейка 4" xfId="843"/>
    <cellStyle name="Месяцев" xfId="844"/>
    <cellStyle name="Миллион человек" xfId="845"/>
    <cellStyle name="Название" xfId="846"/>
    <cellStyle name="Название 2" xfId="847"/>
    <cellStyle name="Название 3" xfId="848"/>
    <cellStyle name="Название 4" xfId="849"/>
    <cellStyle name="Нейтральный" xfId="850"/>
    <cellStyle name="Нейтральный 2" xfId="851"/>
    <cellStyle name="Нейтральный 3" xfId="852"/>
    <cellStyle name="Нейтральный 4" xfId="853"/>
    <cellStyle name="Обычный 10" xfId="854"/>
    <cellStyle name="Обычный 10 10" xfId="855"/>
    <cellStyle name="Обычный 10 2" xfId="856"/>
    <cellStyle name="Обычный 10 2 2" xfId="857"/>
    <cellStyle name="Обычный 10 2 2 2" xfId="858"/>
    <cellStyle name="Обычный 10 2 2 3" xfId="859"/>
    <cellStyle name="Обычный 10 2 3" xfId="860"/>
    <cellStyle name="Обычный 10 2 3 2" xfId="861"/>
    <cellStyle name="Обычный 10 2 4" xfId="862"/>
    <cellStyle name="Обычный 10 2 5" xfId="863"/>
    <cellStyle name="Обычный 10 3" xfId="864"/>
    <cellStyle name="Обычный 10 3 2" xfId="865"/>
    <cellStyle name="Обычный 10 3 3" xfId="866"/>
    <cellStyle name="Обычный 10 4" xfId="867"/>
    <cellStyle name="Обычный 10 4 2" xfId="868"/>
    <cellStyle name="Обычный 10 5" xfId="869"/>
    <cellStyle name="Обычный 10 6" xfId="870"/>
    <cellStyle name="Обычный 10 7" xfId="871"/>
    <cellStyle name="Обычный 10 8" xfId="872"/>
    <cellStyle name="Обычный 10 9" xfId="873"/>
    <cellStyle name="Обычный 100" xfId="874"/>
    <cellStyle name="Обычный 100 2" xfId="875"/>
    <cellStyle name="Обычный 100 2 2" xfId="876"/>
    <cellStyle name="Обычный 100 3" xfId="877"/>
    <cellStyle name="Обычный 100 4" xfId="878"/>
    <cellStyle name="Обычный 101" xfId="879"/>
    <cellStyle name="Обычный 101 2" xfId="880"/>
    <cellStyle name="Обычный 101 2 2" xfId="881"/>
    <cellStyle name="Обычный 101 3" xfId="882"/>
    <cellStyle name="Обычный 101 4" xfId="883"/>
    <cellStyle name="Обычный 102" xfId="884"/>
    <cellStyle name="Обычный 102 2" xfId="885"/>
    <cellStyle name="Обычный 102 2 2" xfId="886"/>
    <cellStyle name="Обычный 102 3" xfId="887"/>
    <cellStyle name="Обычный 102 4" xfId="888"/>
    <cellStyle name="Обычный 103" xfId="889"/>
    <cellStyle name="Обычный 103 2" xfId="890"/>
    <cellStyle name="Обычный 103 2 2" xfId="891"/>
    <cellStyle name="Обычный 103 3" xfId="892"/>
    <cellStyle name="Обычный 103 4" xfId="893"/>
    <cellStyle name="Обычный 104" xfId="894"/>
    <cellStyle name="Обычный 104 2" xfId="895"/>
    <cellStyle name="Обычный 104 2 2" xfId="896"/>
    <cellStyle name="Обычный 104 3" xfId="897"/>
    <cellStyle name="Обычный 104 4" xfId="898"/>
    <cellStyle name="Обычный 105" xfId="899"/>
    <cellStyle name="Обычный 105 2" xfId="900"/>
    <cellStyle name="Обычный 105 2 2" xfId="901"/>
    <cellStyle name="Обычный 105 3" xfId="902"/>
    <cellStyle name="Обычный 105 4" xfId="903"/>
    <cellStyle name="Обычный 106" xfId="904"/>
    <cellStyle name="Обычный 106 2" xfId="905"/>
    <cellStyle name="Обычный 106 2 2" xfId="906"/>
    <cellStyle name="Обычный 106 3" xfId="907"/>
    <cellStyle name="Обычный 106 4" xfId="908"/>
    <cellStyle name="Обычный 107" xfId="909"/>
    <cellStyle name="Обычный 107 2" xfId="910"/>
    <cellStyle name="Обычный 107 2 2" xfId="911"/>
    <cellStyle name="Обычный 107 3" xfId="912"/>
    <cellStyle name="Обычный 107 4" xfId="913"/>
    <cellStyle name="Обычный 108" xfId="914"/>
    <cellStyle name="Обычный 108 2" xfId="915"/>
    <cellStyle name="Обычный 108 2 2" xfId="916"/>
    <cellStyle name="Обычный 108 3" xfId="917"/>
    <cellStyle name="Обычный 108 4" xfId="918"/>
    <cellStyle name="Обычный 109" xfId="919"/>
    <cellStyle name="Обычный 11" xfId="920"/>
    <cellStyle name="Обычный 11 2" xfId="921"/>
    <cellStyle name="Обычный 11 2 2" xfId="922"/>
    <cellStyle name="Обычный 11 3" xfId="923"/>
    <cellStyle name="Обычный 11 3 2" xfId="924"/>
    <cellStyle name="Обычный 11 4" xfId="925"/>
    <cellStyle name="Обычный 11 5" xfId="926"/>
    <cellStyle name="Обычный 110" xfId="927"/>
    <cellStyle name="Обычный 110 2" xfId="928"/>
    <cellStyle name="Обычный 110 2 2" xfId="929"/>
    <cellStyle name="Обычный 110 3" xfId="930"/>
    <cellStyle name="Обычный 110 4" xfId="931"/>
    <cellStyle name="Обычный 111" xfId="932"/>
    <cellStyle name="Обычный 111 2" xfId="933"/>
    <cellStyle name="Обычный 111 2 2" xfId="934"/>
    <cellStyle name="Обычный 111 3" xfId="935"/>
    <cellStyle name="Обычный 111 4" xfId="936"/>
    <cellStyle name="Обычный 112" xfId="937"/>
    <cellStyle name="Обычный 112 2" xfId="938"/>
    <cellStyle name="Обычный 112 2 2" xfId="939"/>
    <cellStyle name="Обычный 112 3" xfId="940"/>
    <cellStyle name="Обычный 112 4" xfId="941"/>
    <cellStyle name="Обычный 113" xfId="942"/>
    <cellStyle name="Обычный 113 2" xfId="943"/>
    <cellStyle name="Обычный 113 2 2" xfId="944"/>
    <cellStyle name="Обычный 113 3" xfId="945"/>
    <cellStyle name="Обычный 113 4" xfId="946"/>
    <cellStyle name="Обычный 114" xfId="947"/>
    <cellStyle name="Обычный 114 2" xfId="948"/>
    <cellStyle name="Обычный 114 2 2" xfId="949"/>
    <cellStyle name="Обычный 114 3" xfId="950"/>
    <cellStyle name="Обычный 114 4" xfId="951"/>
    <cellStyle name="Обычный 115" xfId="952"/>
    <cellStyle name="Обычный 115 2" xfId="953"/>
    <cellStyle name="Обычный 115 2 2" xfId="954"/>
    <cellStyle name="Обычный 115 3" xfId="955"/>
    <cellStyle name="Обычный 115 4" xfId="956"/>
    <cellStyle name="Обычный 116" xfId="957"/>
    <cellStyle name="Обычный 116 2" xfId="958"/>
    <cellStyle name="Обычный 116 2 2" xfId="959"/>
    <cellStyle name="Обычный 116 3" xfId="960"/>
    <cellStyle name="Обычный 116 4" xfId="961"/>
    <cellStyle name="Обычный 117" xfId="962"/>
    <cellStyle name="Обычный 117 2" xfId="963"/>
    <cellStyle name="Обычный 117 2 2" xfId="964"/>
    <cellStyle name="Обычный 117 3" xfId="965"/>
    <cellStyle name="Обычный 117 4" xfId="966"/>
    <cellStyle name="Обычный 118" xfId="967"/>
    <cellStyle name="Обычный 118 2" xfId="968"/>
    <cellStyle name="Обычный 118 2 2" xfId="969"/>
    <cellStyle name="Обычный 118 3" xfId="970"/>
    <cellStyle name="Обычный 118 4" xfId="971"/>
    <cellStyle name="Обычный 119" xfId="972"/>
    <cellStyle name="Обычный 119 2" xfId="973"/>
    <cellStyle name="Обычный 119 2 2" xfId="974"/>
    <cellStyle name="Обычный 119 3" xfId="975"/>
    <cellStyle name="Обычный 119 4" xfId="976"/>
    <cellStyle name="Обычный 12" xfId="977"/>
    <cellStyle name="Обычный 12 2" xfId="978"/>
    <cellStyle name="Обычный 12 2 2" xfId="979"/>
    <cellStyle name="Обычный 12 3" xfId="980"/>
    <cellStyle name="Обычный 12 3 2" xfId="981"/>
    <cellStyle name="Обычный 12 4" xfId="982"/>
    <cellStyle name="Обычный 12 5" xfId="983"/>
    <cellStyle name="Обычный 120" xfId="984"/>
    <cellStyle name="Обычный 120 2" xfId="985"/>
    <cellStyle name="Обычный 120 2 2" xfId="986"/>
    <cellStyle name="Обычный 120 3" xfId="987"/>
    <cellStyle name="Обычный 120 4" xfId="988"/>
    <cellStyle name="Обычный 121" xfId="989"/>
    <cellStyle name="Обычный 121 2" xfId="990"/>
    <cellStyle name="Обычный 121 2 2" xfId="991"/>
    <cellStyle name="Обычный 121 3" xfId="992"/>
    <cellStyle name="Обычный 121 4" xfId="993"/>
    <cellStyle name="Обычный 122" xfId="994"/>
    <cellStyle name="Обычный 122 2" xfId="995"/>
    <cellStyle name="Обычный 122 2 2" xfId="996"/>
    <cellStyle name="Обычный 122 3" xfId="997"/>
    <cellStyle name="Обычный 122 4" xfId="998"/>
    <cellStyle name="Обычный 123" xfId="999"/>
    <cellStyle name="Обычный 123 2" xfId="1000"/>
    <cellStyle name="Обычный 123 2 2" xfId="1001"/>
    <cellStyle name="Обычный 123 3" xfId="1002"/>
    <cellStyle name="Обычный 123 4" xfId="1003"/>
    <cellStyle name="Обычный 124" xfId="1004"/>
    <cellStyle name="Обычный 124 2" xfId="1005"/>
    <cellStyle name="Обычный 124 2 2" xfId="1006"/>
    <cellStyle name="Обычный 124 3" xfId="1007"/>
    <cellStyle name="Обычный 124 4" xfId="1008"/>
    <cellStyle name="Обычный 125" xfId="1009"/>
    <cellStyle name="Обычный 125 2" xfId="1010"/>
    <cellStyle name="Обычный 125 2 2" xfId="1011"/>
    <cellStyle name="Обычный 125 3" xfId="1012"/>
    <cellStyle name="Обычный 125 4" xfId="1013"/>
    <cellStyle name="Обычный 126" xfId="1014"/>
    <cellStyle name="Обычный 126 2" xfId="1015"/>
    <cellStyle name="Обычный 126 2 2" xfId="1016"/>
    <cellStyle name="Обычный 126 3" xfId="1017"/>
    <cellStyle name="Обычный 126 4" xfId="1018"/>
    <cellStyle name="Обычный 127" xfId="1019"/>
    <cellStyle name="Обычный 127 2" xfId="1020"/>
    <cellStyle name="Обычный 127 2 2" xfId="1021"/>
    <cellStyle name="Обычный 127 3" xfId="1022"/>
    <cellStyle name="Обычный 127 4" xfId="1023"/>
    <cellStyle name="Обычный 128" xfId="1024"/>
    <cellStyle name="Обычный 128 2" xfId="1025"/>
    <cellStyle name="Обычный 128 2 2" xfId="1026"/>
    <cellStyle name="Обычный 128 3" xfId="1027"/>
    <cellStyle name="Обычный 128 4" xfId="1028"/>
    <cellStyle name="Обычный 129" xfId="1029"/>
    <cellStyle name="Обычный 129 2" xfId="1030"/>
    <cellStyle name="Обычный 129 2 2" xfId="1031"/>
    <cellStyle name="Обычный 129 3" xfId="1032"/>
    <cellStyle name="Обычный 129 4" xfId="1033"/>
    <cellStyle name="Обычный 13" xfId="1034"/>
    <cellStyle name="Обычный 13 2" xfId="1035"/>
    <cellStyle name="Обычный 13 2 2" xfId="1036"/>
    <cellStyle name="Обычный 13 3" xfId="1037"/>
    <cellStyle name="Обычный 13 4" xfId="1038"/>
    <cellStyle name="Обычный 13 5" xfId="1039"/>
    <cellStyle name="Обычный 13 6" xfId="1040"/>
    <cellStyle name="Обычный 130" xfId="1041"/>
    <cellStyle name="Обычный 130 2" xfId="1042"/>
    <cellStyle name="Обычный 130 2 2" xfId="1043"/>
    <cellStyle name="Обычный 130 3" xfId="1044"/>
    <cellStyle name="Обычный 130 4" xfId="1045"/>
    <cellStyle name="Обычный 131" xfId="1046"/>
    <cellStyle name="Обычный 131 2" xfId="1047"/>
    <cellStyle name="Обычный 131 2 2" xfId="1048"/>
    <cellStyle name="Обычный 131 3" xfId="1049"/>
    <cellStyle name="Обычный 131 4" xfId="1050"/>
    <cellStyle name="Обычный 132" xfId="1051"/>
    <cellStyle name="Обычный 132 2" xfId="1052"/>
    <cellStyle name="Обычный 132 2 2" xfId="1053"/>
    <cellStyle name="Обычный 132 3" xfId="1054"/>
    <cellStyle name="Обычный 132 4" xfId="1055"/>
    <cellStyle name="Обычный 133" xfId="1056"/>
    <cellStyle name="Обычный 133 2" xfId="1057"/>
    <cellStyle name="Обычный 133 2 2" xfId="1058"/>
    <cellStyle name="Обычный 133 3" xfId="1059"/>
    <cellStyle name="Обычный 133 4" xfId="1060"/>
    <cellStyle name="Обычный 134" xfId="1061"/>
    <cellStyle name="Обычный 134 2" xfId="1062"/>
    <cellStyle name="Обычный 134 2 2" xfId="1063"/>
    <cellStyle name="Обычный 134 3" xfId="1064"/>
    <cellStyle name="Обычный 134 4" xfId="1065"/>
    <cellStyle name="Обычный 135" xfId="1066"/>
    <cellStyle name="Обычный 135 2" xfId="1067"/>
    <cellStyle name="Обычный 135 2 2" xfId="1068"/>
    <cellStyle name="Обычный 135 3" xfId="1069"/>
    <cellStyle name="Обычный 135 4" xfId="1070"/>
    <cellStyle name="Обычный 136" xfId="1071"/>
    <cellStyle name="Обычный 136 2" xfId="1072"/>
    <cellStyle name="Обычный 136 2 2" xfId="1073"/>
    <cellStyle name="Обычный 136 3" xfId="1074"/>
    <cellStyle name="Обычный 136 4" xfId="1075"/>
    <cellStyle name="Обычный 137" xfId="1076"/>
    <cellStyle name="Обычный 137 2" xfId="1077"/>
    <cellStyle name="Обычный 137 2 2" xfId="1078"/>
    <cellStyle name="Обычный 137 3" xfId="1079"/>
    <cellStyle name="Обычный 137 4" xfId="1080"/>
    <cellStyle name="Обычный 138" xfId="1081"/>
    <cellStyle name="Обычный 138 2" xfId="1082"/>
    <cellStyle name="Обычный 138 2 2" xfId="1083"/>
    <cellStyle name="Обычный 138 3" xfId="1084"/>
    <cellStyle name="Обычный 138 4" xfId="1085"/>
    <cellStyle name="Обычный 139" xfId="1086"/>
    <cellStyle name="Обычный 139 2" xfId="1087"/>
    <cellStyle name="Обычный 139 2 2" xfId="1088"/>
    <cellStyle name="Обычный 139 3" xfId="1089"/>
    <cellStyle name="Обычный 139 4" xfId="1090"/>
    <cellStyle name="Обычный 14" xfId="1091"/>
    <cellStyle name="Обычный 14 2" xfId="1092"/>
    <cellStyle name="Обычный 14 2 2" xfId="1093"/>
    <cellStyle name="Обычный 14 2 3" xfId="1094"/>
    <cellStyle name="Обычный 14 3" xfId="1095"/>
    <cellStyle name="Обычный 14 4" xfId="1096"/>
    <cellStyle name="Обычный 14 5" xfId="1097"/>
    <cellStyle name="Обычный 14 6" xfId="1098"/>
    <cellStyle name="Обычный 14 7" xfId="1099"/>
    <cellStyle name="Обычный 140" xfId="1100"/>
    <cellStyle name="Обычный 140 2" xfId="1101"/>
    <cellStyle name="Обычный 140 2 2" xfId="1102"/>
    <cellStyle name="Обычный 140 3" xfId="1103"/>
    <cellStyle name="Обычный 140 4" xfId="1104"/>
    <cellStyle name="Обычный 141" xfId="1105"/>
    <cellStyle name="Обычный 141 2" xfId="1106"/>
    <cellStyle name="Обычный 141 2 2" xfId="1107"/>
    <cellStyle name="Обычный 141 3" xfId="1108"/>
    <cellStyle name="Обычный 141 4" xfId="1109"/>
    <cellStyle name="Обычный 142" xfId="1110"/>
    <cellStyle name="Обычный 142 2" xfId="1111"/>
    <cellStyle name="Обычный 142 2 2" xfId="1112"/>
    <cellStyle name="Обычный 142 3" xfId="1113"/>
    <cellStyle name="Обычный 142 4" xfId="1114"/>
    <cellStyle name="Обычный 143" xfId="1115"/>
    <cellStyle name="Обычный 143 2" xfId="1116"/>
    <cellStyle name="Обычный 143 2 2" xfId="1117"/>
    <cellStyle name="Обычный 143 3" xfId="1118"/>
    <cellStyle name="Обычный 143 4" xfId="1119"/>
    <cellStyle name="Обычный 144" xfId="1120"/>
    <cellStyle name="Обычный 144 2" xfId="1121"/>
    <cellStyle name="Обычный 144 2 2" xfId="1122"/>
    <cellStyle name="Обычный 144 3" xfId="1123"/>
    <cellStyle name="Обычный 144 4" xfId="1124"/>
    <cellStyle name="Обычный 145" xfId="1125"/>
    <cellStyle name="Обычный 145 2" xfId="1126"/>
    <cellStyle name="Обычный 145 2 2" xfId="1127"/>
    <cellStyle name="Обычный 145 3" xfId="1128"/>
    <cellStyle name="Обычный 145 4" xfId="1129"/>
    <cellStyle name="Обычный 146" xfId="1130"/>
    <cellStyle name="Обычный 146 2" xfId="1131"/>
    <cellStyle name="Обычный 146 2 2" xfId="1132"/>
    <cellStyle name="Обычный 146 3" xfId="1133"/>
    <cellStyle name="Обычный 146 4" xfId="1134"/>
    <cellStyle name="Обычный 147" xfId="1135"/>
    <cellStyle name="Обычный 147 2" xfId="1136"/>
    <cellStyle name="Обычный 147 2 2" xfId="1137"/>
    <cellStyle name="Обычный 147 3" xfId="1138"/>
    <cellStyle name="Обычный 147 4" xfId="1139"/>
    <cellStyle name="Обычный 148" xfId="1140"/>
    <cellStyle name="Обычный 148 2" xfId="1141"/>
    <cellStyle name="Обычный 148 2 2" xfId="1142"/>
    <cellStyle name="Обычный 148 3" xfId="1143"/>
    <cellStyle name="Обычный 148 4" xfId="1144"/>
    <cellStyle name="Обычный 149" xfId="1145"/>
    <cellStyle name="Обычный 149 2" xfId="1146"/>
    <cellStyle name="Обычный 149 2 2" xfId="1147"/>
    <cellStyle name="Обычный 149 3" xfId="1148"/>
    <cellStyle name="Обычный 149 4" xfId="1149"/>
    <cellStyle name="Обычный 15" xfId="1150"/>
    <cellStyle name="Обычный 15 2" xfId="1151"/>
    <cellStyle name="Обычный 15 2 2" xfId="1152"/>
    <cellStyle name="Обычный 15 3" xfId="1153"/>
    <cellStyle name="Обычный 15 4" xfId="1154"/>
    <cellStyle name="Обычный 150" xfId="1155"/>
    <cellStyle name="Обычный 150 2" xfId="1156"/>
    <cellStyle name="Обычный 150 2 2" xfId="1157"/>
    <cellStyle name="Обычный 150 3" xfId="1158"/>
    <cellStyle name="Обычный 150 4" xfId="1159"/>
    <cellStyle name="Обычный 151" xfId="1160"/>
    <cellStyle name="Обычный 151 2" xfId="1161"/>
    <cellStyle name="Обычный 151 2 2" xfId="1162"/>
    <cellStyle name="Обычный 151 3" xfId="1163"/>
    <cellStyle name="Обычный 151 4" xfId="1164"/>
    <cellStyle name="Обычный 152" xfId="1165"/>
    <cellStyle name="Обычный 152 2" xfId="1166"/>
    <cellStyle name="Обычный 152 2 2" xfId="1167"/>
    <cellStyle name="Обычный 152 3" xfId="1168"/>
    <cellStyle name="Обычный 152 4" xfId="1169"/>
    <cellStyle name="Обычный 153" xfId="1170"/>
    <cellStyle name="Обычный 153 2" xfId="1171"/>
    <cellStyle name="Обычный 153 2 2" xfId="1172"/>
    <cellStyle name="Обычный 153 3" xfId="1173"/>
    <cellStyle name="Обычный 153 4" xfId="1174"/>
    <cellStyle name="Обычный 154" xfId="1175"/>
    <cellStyle name="Обычный 154 2" xfId="1176"/>
    <cellStyle name="Обычный 154 2 2" xfId="1177"/>
    <cellStyle name="Обычный 154 3" xfId="1178"/>
    <cellStyle name="Обычный 154 4" xfId="1179"/>
    <cellStyle name="Обычный 155" xfId="1180"/>
    <cellStyle name="Обычный 155 2" xfId="1181"/>
    <cellStyle name="Обычный 155 2 2" xfId="1182"/>
    <cellStyle name="Обычный 155 3" xfId="1183"/>
    <cellStyle name="Обычный 155 4" xfId="1184"/>
    <cellStyle name="Обычный 156" xfId="1185"/>
    <cellStyle name="Обычный 156 2" xfId="1186"/>
    <cellStyle name="Обычный 156 2 2" xfId="1187"/>
    <cellStyle name="Обычный 156 3" xfId="1188"/>
    <cellStyle name="Обычный 156 4" xfId="1189"/>
    <cellStyle name="Обычный 157" xfId="1190"/>
    <cellStyle name="Обычный 157 2" xfId="1191"/>
    <cellStyle name="Обычный 157 2 2" xfId="1192"/>
    <cellStyle name="Обычный 157 3" xfId="1193"/>
    <cellStyle name="Обычный 157 4" xfId="1194"/>
    <cellStyle name="Обычный 158" xfId="1195"/>
    <cellStyle name="Обычный 158 2" xfId="1196"/>
    <cellStyle name="Обычный 158 2 2" xfId="1197"/>
    <cellStyle name="Обычный 158 3" xfId="1198"/>
    <cellStyle name="Обычный 158 4" xfId="1199"/>
    <cellStyle name="Обычный 159" xfId="1200"/>
    <cellStyle name="Обычный 159 2" xfId="1201"/>
    <cellStyle name="Обычный 159 2 2" xfId="1202"/>
    <cellStyle name="Обычный 159 3" xfId="1203"/>
    <cellStyle name="Обычный 159 4" xfId="1204"/>
    <cellStyle name="Обычный 16" xfId="1205"/>
    <cellStyle name="Обычный 16 2" xfId="1206"/>
    <cellStyle name="Обычный 16 2 2" xfId="1207"/>
    <cellStyle name="Обычный 16 3" xfId="1208"/>
    <cellStyle name="Обычный 16 4" xfId="1209"/>
    <cellStyle name="Обычный 160" xfId="1210"/>
    <cellStyle name="Обычный 160 2" xfId="1211"/>
    <cellStyle name="Обычный 160 2 2" xfId="1212"/>
    <cellStyle name="Обычный 160 3" xfId="1213"/>
    <cellStyle name="Обычный 160 4" xfId="1214"/>
    <cellStyle name="Обычный 161" xfId="1215"/>
    <cellStyle name="Обычный 161 2" xfId="1216"/>
    <cellStyle name="Обычный 161 2 2" xfId="1217"/>
    <cellStyle name="Обычный 161 3" xfId="1218"/>
    <cellStyle name="Обычный 161 4" xfId="1219"/>
    <cellStyle name="Обычный 162" xfId="1220"/>
    <cellStyle name="Обычный 162 2" xfId="1221"/>
    <cellStyle name="Обычный 162 2 2" xfId="1222"/>
    <cellStyle name="Обычный 162 3" xfId="1223"/>
    <cellStyle name="Обычный 162 4" xfId="1224"/>
    <cellStyle name="Обычный 163" xfId="1225"/>
    <cellStyle name="Обычный 163 2" xfId="1226"/>
    <cellStyle name="Обычный 163 2 2" xfId="1227"/>
    <cellStyle name="Обычный 163 3" xfId="1228"/>
    <cellStyle name="Обычный 163 4" xfId="1229"/>
    <cellStyle name="Обычный 164" xfId="1230"/>
    <cellStyle name="Обычный 164 2" xfId="1231"/>
    <cellStyle name="Обычный 164 2 2" xfId="1232"/>
    <cellStyle name="Обычный 164 3" xfId="1233"/>
    <cellStyle name="Обычный 164 4" xfId="1234"/>
    <cellStyle name="Обычный 165" xfId="1235"/>
    <cellStyle name="Обычный 165 2" xfId="1236"/>
    <cellStyle name="Обычный 165 2 2" xfId="1237"/>
    <cellStyle name="Обычный 165 3" xfId="1238"/>
    <cellStyle name="Обычный 165 4" xfId="1239"/>
    <cellStyle name="Обычный 166" xfId="1240"/>
    <cellStyle name="Обычный 166 2" xfId="1241"/>
    <cellStyle name="Обычный 166 2 2" xfId="1242"/>
    <cellStyle name="Обычный 166 3" xfId="1243"/>
    <cellStyle name="Обычный 166 4" xfId="1244"/>
    <cellStyle name="Обычный 167" xfId="1245"/>
    <cellStyle name="Обычный 167 2" xfId="1246"/>
    <cellStyle name="Обычный 167 2 2" xfId="1247"/>
    <cellStyle name="Обычный 167 3" xfId="1248"/>
    <cellStyle name="Обычный 167 4" xfId="1249"/>
    <cellStyle name="Обычный 168" xfId="1250"/>
    <cellStyle name="Обычный 168 2" xfId="1251"/>
    <cellStyle name="Обычный 168 2 2" xfId="1252"/>
    <cellStyle name="Обычный 168 3" xfId="1253"/>
    <cellStyle name="Обычный 168 4" xfId="1254"/>
    <cellStyle name="Обычный 169" xfId="1255"/>
    <cellStyle name="Обычный 169 2" xfId="1256"/>
    <cellStyle name="Обычный 169 2 2" xfId="1257"/>
    <cellStyle name="Обычный 169 3" xfId="1258"/>
    <cellStyle name="Обычный 169 4" xfId="1259"/>
    <cellStyle name="Обычный 17" xfId="1260"/>
    <cellStyle name="Обычный 17 2" xfId="1261"/>
    <cellStyle name="Обычный 17 2 2" xfId="1262"/>
    <cellStyle name="Обычный 17 3" xfId="1263"/>
    <cellStyle name="Обычный 17 4" xfId="1264"/>
    <cellStyle name="Обычный 170" xfId="1265"/>
    <cellStyle name="Обычный 170 2" xfId="1266"/>
    <cellStyle name="Обычный 170 2 2" xfId="1267"/>
    <cellStyle name="Обычный 170 3" xfId="1268"/>
    <cellStyle name="Обычный 170 4" xfId="1269"/>
    <cellStyle name="Обычный 171" xfId="1270"/>
    <cellStyle name="Обычный 171 2" xfId="1271"/>
    <cellStyle name="Обычный 171 2 2" xfId="1272"/>
    <cellStyle name="Обычный 171 3" xfId="1273"/>
    <cellStyle name="Обычный 171 4" xfId="1274"/>
    <cellStyle name="Обычный 172" xfId="1275"/>
    <cellStyle name="Обычный 172 2" xfId="1276"/>
    <cellStyle name="Обычный 172 2 2" xfId="1277"/>
    <cellStyle name="Обычный 172 3" xfId="1278"/>
    <cellStyle name="Обычный 172 4" xfId="1279"/>
    <cellStyle name="Обычный 173" xfId="1280"/>
    <cellStyle name="Обычный 173 2" xfId="1281"/>
    <cellStyle name="Обычный 173 2 2" xfId="1282"/>
    <cellStyle name="Обычный 173 3" xfId="1283"/>
    <cellStyle name="Обычный 173 4" xfId="1284"/>
    <cellStyle name="Обычный 174" xfId="1285"/>
    <cellStyle name="Обычный 174 2" xfId="1286"/>
    <cellStyle name="Обычный 174 2 2" xfId="1287"/>
    <cellStyle name="Обычный 174 3" xfId="1288"/>
    <cellStyle name="Обычный 174 4" xfId="1289"/>
    <cellStyle name="Обычный 175" xfId="1290"/>
    <cellStyle name="Обычный 175 2" xfId="1291"/>
    <cellStyle name="Обычный 175 2 2" xfId="1292"/>
    <cellStyle name="Обычный 175 3" xfId="1293"/>
    <cellStyle name="Обычный 175 4" xfId="1294"/>
    <cellStyle name="Обычный 176" xfId="1295"/>
    <cellStyle name="Обычный 176 2" xfId="1296"/>
    <cellStyle name="Обычный 176 2 2" xfId="1297"/>
    <cellStyle name="Обычный 176 3" xfId="1298"/>
    <cellStyle name="Обычный 176 4" xfId="1299"/>
    <cellStyle name="Обычный 177" xfId="1300"/>
    <cellStyle name="Обычный 177 2" xfId="1301"/>
    <cellStyle name="Обычный 177 2 2" xfId="1302"/>
    <cellStyle name="Обычный 177 3" xfId="1303"/>
    <cellStyle name="Обычный 177 4" xfId="1304"/>
    <cellStyle name="Обычный 178" xfId="1305"/>
    <cellStyle name="Обычный 178 2" xfId="1306"/>
    <cellStyle name="Обычный 178 2 2" xfId="1307"/>
    <cellStyle name="Обычный 178 3" xfId="1308"/>
    <cellStyle name="Обычный 178 4" xfId="1309"/>
    <cellStyle name="Обычный 179" xfId="1310"/>
    <cellStyle name="Обычный 179 2" xfId="1311"/>
    <cellStyle name="Обычный 179 2 2" xfId="1312"/>
    <cellStyle name="Обычный 179 3" xfId="1313"/>
    <cellStyle name="Обычный 179 4" xfId="1314"/>
    <cellStyle name="Обычный 18" xfId="1315"/>
    <cellStyle name="Обычный 18 2" xfId="1316"/>
    <cellStyle name="Обычный 18 2 2" xfId="1317"/>
    <cellStyle name="Обычный 18 3" xfId="1318"/>
    <cellStyle name="Обычный 18 4" xfId="1319"/>
    <cellStyle name="Обычный 180" xfId="1320"/>
    <cellStyle name="Обычный 180 2" xfId="1321"/>
    <cellStyle name="Обычный 180 2 2" xfId="1322"/>
    <cellStyle name="Обычный 180 3" xfId="1323"/>
    <cellStyle name="Обычный 180 4" xfId="1324"/>
    <cellStyle name="Обычный 181" xfId="1325"/>
    <cellStyle name="Обычный 181 2" xfId="1326"/>
    <cellStyle name="Обычный 181 2 2" xfId="1327"/>
    <cellStyle name="Обычный 181 3" xfId="1328"/>
    <cellStyle name="Обычный 181 4" xfId="1329"/>
    <cellStyle name="Обычный 182" xfId="1330"/>
    <cellStyle name="Обычный 182 2" xfId="1331"/>
    <cellStyle name="Обычный 182 2 2" xfId="1332"/>
    <cellStyle name="Обычный 182 3" xfId="1333"/>
    <cellStyle name="Обычный 182 4" xfId="1334"/>
    <cellStyle name="Обычный 183" xfId="1335"/>
    <cellStyle name="Обычный 183 2" xfId="1336"/>
    <cellStyle name="Обычный 183 2 2" xfId="1337"/>
    <cellStyle name="Обычный 183 3" xfId="1338"/>
    <cellStyle name="Обычный 183 4" xfId="1339"/>
    <cellStyle name="Обычный 184" xfId="1340"/>
    <cellStyle name="Обычный 184 2" xfId="1341"/>
    <cellStyle name="Обычный 184 2 2" xfId="1342"/>
    <cellStyle name="Обычный 184 3" xfId="1343"/>
    <cellStyle name="Обычный 184 4" xfId="1344"/>
    <cellStyle name="Обычный 185" xfId="1345"/>
    <cellStyle name="Обычный 185 2" xfId="1346"/>
    <cellStyle name="Обычный 185 2 2" xfId="1347"/>
    <cellStyle name="Обычный 185 3" xfId="1348"/>
    <cellStyle name="Обычный 185 4" xfId="1349"/>
    <cellStyle name="Обычный 186" xfId="1350"/>
    <cellStyle name="Обычный 186 2" xfId="1351"/>
    <cellStyle name="Обычный 186 2 2" xfId="1352"/>
    <cellStyle name="Обычный 186 3" xfId="1353"/>
    <cellStyle name="Обычный 186 4" xfId="1354"/>
    <cellStyle name="Обычный 187" xfId="1355"/>
    <cellStyle name="Обычный 187 2" xfId="1356"/>
    <cellStyle name="Обычный 187 2 2" xfId="1357"/>
    <cellStyle name="Обычный 187 3" xfId="1358"/>
    <cellStyle name="Обычный 187 4" xfId="1359"/>
    <cellStyle name="Обычный 188" xfId="1360"/>
    <cellStyle name="Обычный 188 2" xfId="1361"/>
    <cellStyle name="Обычный 188 2 2" xfId="1362"/>
    <cellStyle name="Обычный 188 3" xfId="1363"/>
    <cellStyle name="Обычный 188 4" xfId="1364"/>
    <cellStyle name="Обычный 189" xfId="1365"/>
    <cellStyle name="Обычный 189 2" xfId="1366"/>
    <cellStyle name="Обычный 189 2 2" xfId="1367"/>
    <cellStyle name="Обычный 189 3" xfId="1368"/>
    <cellStyle name="Обычный 189 4" xfId="1369"/>
    <cellStyle name="Обычный 19" xfId="1370"/>
    <cellStyle name="Обычный 19 2" xfId="1371"/>
    <cellStyle name="Обычный 19 2 2" xfId="1372"/>
    <cellStyle name="Обычный 19 3" xfId="1373"/>
    <cellStyle name="Обычный 19 4" xfId="1374"/>
    <cellStyle name="Обычный 190" xfId="1375"/>
    <cellStyle name="Обычный 190 2" xfId="1376"/>
    <cellStyle name="Обычный 190 2 2" xfId="1377"/>
    <cellStyle name="Обычный 190 3" xfId="1378"/>
    <cellStyle name="Обычный 190 4" xfId="1379"/>
    <cellStyle name="Обычный 191" xfId="1380"/>
    <cellStyle name="Обычный 191 2" xfId="1381"/>
    <cellStyle name="Обычный 191 2 2" xfId="1382"/>
    <cellStyle name="Обычный 191 3" xfId="1383"/>
    <cellStyle name="Обычный 191 4" xfId="1384"/>
    <cellStyle name="Обычный 192" xfId="1385"/>
    <cellStyle name="Обычный 192 2" xfId="1386"/>
    <cellStyle name="Обычный 192 2 2" xfId="1387"/>
    <cellStyle name="Обычный 192 3" xfId="1388"/>
    <cellStyle name="Обычный 192 4" xfId="1389"/>
    <cellStyle name="Обычный 193" xfId="1390"/>
    <cellStyle name="Обычный 193 2" xfId="1391"/>
    <cellStyle name="Обычный 193 2 2" xfId="1392"/>
    <cellStyle name="Обычный 193 3" xfId="1393"/>
    <cellStyle name="Обычный 193 4" xfId="1394"/>
    <cellStyle name="Обычный 194" xfId="1395"/>
    <cellStyle name="Обычный 194 2" xfId="1396"/>
    <cellStyle name="Обычный 194 2 2" xfId="1397"/>
    <cellStyle name="Обычный 194 3" xfId="1398"/>
    <cellStyle name="Обычный 194 4" xfId="1399"/>
    <cellStyle name="Обычный 195" xfId="1400"/>
    <cellStyle name="Обычный 195 2" xfId="1401"/>
    <cellStyle name="Обычный 195 2 2" xfId="1402"/>
    <cellStyle name="Обычный 195 3" xfId="1403"/>
    <cellStyle name="Обычный 195 4" xfId="1404"/>
    <cellStyle name="Обычный 196" xfId="1405"/>
    <cellStyle name="Обычный 196 2" xfId="1406"/>
    <cellStyle name="Обычный 196 2 2" xfId="1407"/>
    <cellStyle name="Обычный 196 3" xfId="1408"/>
    <cellStyle name="Обычный 196 4" xfId="1409"/>
    <cellStyle name="Обычный 197" xfId="1410"/>
    <cellStyle name="Обычный 197 2" xfId="1411"/>
    <cellStyle name="Обычный 197 2 2" xfId="1412"/>
    <cellStyle name="Обычный 197 3" xfId="1413"/>
    <cellStyle name="Обычный 197 4" xfId="1414"/>
    <cellStyle name="Обычный 198" xfId="1415"/>
    <cellStyle name="Обычный 198 2" xfId="1416"/>
    <cellStyle name="Обычный 198 2 2" xfId="1417"/>
    <cellStyle name="Обычный 198 3" xfId="1418"/>
    <cellStyle name="Обычный 198 4" xfId="1419"/>
    <cellStyle name="Обычный 199" xfId="1420"/>
    <cellStyle name="Обычный 199 2" xfId="1421"/>
    <cellStyle name="Обычный 199 2 2" xfId="1422"/>
    <cellStyle name="Обычный 199 3" xfId="1423"/>
    <cellStyle name="Обычный 199 4" xfId="1424"/>
    <cellStyle name="Обычный 2" xfId="1425"/>
    <cellStyle name="Обычный 2 10" xfId="1426"/>
    <cellStyle name="Обычный 2 10 2" xfId="1427"/>
    <cellStyle name="Обычный 2 11" xfId="1428"/>
    <cellStyle name="Обычный 2 12" xfId="1429"/>
    <cellStyle name="Обычный 2 13" xfId="1430"/>
    <cellStyle name="Обычный 2 2" xfId="1431"/>
    <cellStyle name="Обычный 2 2 2" xfId="1432"/>
    <cellStyle name="Обычный 2 2 2 2" xfId="1433"/>
    <cellStyle name="Обычный 2 2 2 3" xfId="1434"/>
    <cellStyle name="Обычный 2 2 2 4" xfId="1435"/>
    <cellStyle name="Обычный 2 2 2 5" xfId="1436"/>
    <cellStyle name="Обычный 2 2 3" xfId="1437"/>
    <cellStyle name="Обычный 2 2 3 2" xfId="1438"/>
    <cellStyle name="Обычный 2 2 3 3" xfId="1439"/>
    <cellStyle name="Обычный 2 2 4" xfId="1440"/>
    <cellStyle name="Обычный 2 2 5" xfId="1441"/>
    <cellStyle name="Обычный 2 3" xfId="1442"/>
    <cellStyle name="Обычный 2 3 2" xfId="1443"/>
    <cellStyle name="Обычный 2 3 2 2" xfId="1444"/>
    <cellStyle name="Обычный 2 3 2 2 2" xfId="1445"/>
    <cellStyle name="Обычный 2 3 2 2 2 2" xfId="1446"/>
    <cellStyle name="Обычный 2 3 2 2 2 2 2" xfId="1447"/>
    <cellStyle name="Обычный 2 3 2 2 2 3" xfId="1448"/>
    <cellStyle name="Обычный 2 3 2 2 3" xfId="1449"/>
    <cellStyle name="Обычный 2 3 2 2 3 2" xfId="1450"/>
    <cellStyle name="Обычный 2 3 2 2 4" xfId="1451"/>
    <cellStyle name="Обычный 2 3 2 3" xfId="1452"/>
    <cellStyle name="Обычный 2 3 2 3 2" xfId="1453"/>
    <cellStyle name="Обычный 2 3 2 3 2 2" xfId="1454"/>
    <cellStyle name="Обычный 2 3 2 3 3" xfId="1455"/>
    <cellStyle name="Обычный 2 3 2 4" xfId="1456"/>
    <cellStyle name="Обычный 2 3 2 4 2" xfId="1457"/>
    <cellStyle name="Обычный 2 3 2 5" xfId="1458"/>
    <cellStyle name="Обычный 2 3 2 6" xfId="1459"/>
    <cellStyle name="Обычный 2 3 2 7" xfId="1460"/>
    <cellStyle name="Обычный 2 3 3" xfId="1461"/>
    <cellStyle name="Обычный 2 3 3 2" xfId="1462"/>
    <cellStyle name="Обычный 2 3 3 2 2" xfId="1463"/>
    <cellStyle name="Обычный 2 3 3 2 2 2" xfId="1464"/>
    <cellStyle name="Обычный 2 3 3 2 3" xfId="1465"/>
    <cellStyle name="Обычный 2 3 3 3" xfId="1466"/>
    <cellStyle name="Обычный 2 3 3 3 2" xfId="1467"/>
    <cellStyle name="Обычный 2 3 3 4" xfId="1468"/>
    <cellStyle name="Обычный 2 3 3 5" xfId="1469"/>
    <cellStyle name="Обычный 2 3 4" xfId="1470"/>
    <cellStyle name="Обычный 2 3 4 2" xfId="1471"/>
    <cellStyle name="Обычный 2 3 4 2 2" xfId="1472"/>
    <cellStyle name="Обычный 2 3 4 3" xfId="1473"/>
    <cellStyle name="Обычный 2 3 5" xfId="1474"/>
    <cellStyle name="Обычный 2 3 5 2" xfId="1475"/>
    <cellStyle name="Обычный 2 3 6" xfId="1476"/>
    <cellStyle name="Обычный 2 3 7" xfId="1477"/>
    <cellStyle name="Обычный 2 4" xfId="1478"/>
    <cellStyle name="Обычный 2 4 2" xfId="1479"/>
    <cellStyle name="Обычный 2 4 2 2" xfId="1480"/>
    <cellStyle name="Обычный 2 4 2 2 2" xfId="1481"/>
    <cellStyle name="Обычный 2 4 2 2 2 2" xfId="1482"/>
    <cellStyle name="Обычный 2 4 2 2 3" xfId="1483"/>
    <cellStyle name="Обычный 2 4 2 3" xfId="1484"/>
    <cellStyle name="Обычный 2 4 2 3 2" xfId="1485"/>
    <cellStyle name="Обычный 2 4 2 4" xfId="1486"/>
    <cellStyle name="Обычный 2 4 3" xfId="1487"/>
    <cellStyle name="Обычный 2 4 3 2" xfId="1488"/>
    <cellStyle name="Обычный 2 4 3 2 2" xfId="1489"/>
    <cellStyle name="Обычный 2 4 3 3" xfId="1490"/>
    <cellStyle name="Обычный 2 4 4" xfId="1491"/>
    <cellStyle name="Обычный 2 4 4 2" xfId="1492"/>
    <cellStyle name="Обычный 2 4 5" xfId="1493"/>
    <cellStyle name="Обычный 2 4 6" xfId="1494"/>
    <cellStyle name="Обычный 2 5" xfId="1495"/>
    <cellStyle name="Обычный 2 5 2" xfId="1496"/>
    <cellStyle name="Обычный 2 5 2 2" xfId="1497"/>
    <cellStyle name="Обычный 2 5 2 2 2" xfId="1498"/>
    <cellStyle name="Обычный 2 5 2 3" xfId="1499"/>
    <cellStyle name="Обычный 2 5 2 4" xfId="1500"/>
    <cellStyle name="Обычный 2 5 3" xfId="1501"/>
    <cellStyle name="Обычный 2 5 3 2" xfId="1502"/>
    <cellStyle name="Обычный 2 5 3 3" xfId="1503"/>
    <cellStyle name="Обычный 2 5 4" xfId="1504"/>
    <cellStyle name="Обычный 2 5 5" xfId="1505"/>
    <cellStyle name="Обычный 2 6" xfId="1506"/>
    <cellStyle name="Обычный 2 6 2" xfId="1507"/>
    <cellStyle name="Обычный 2 6 2 2" xfId="1508"/>
    <cellStyle name="Обычный 2 6 2 2 2" xfId="1509"/>
    <cellStyle name="Обычный 2 6 2 3" xfId="1510"/>
    <cellStyle name="Обычный 2 6 2 4" xfId="1511"/>
    <cellStyle name="Обычный 2 6 3" xfId="1512"/>
    <cellStyle name="Обычный 2 6 3 2" xfId="1513"/>
    <cellStyle name="Обычный 2 6 4" xfId="1514"/>
    <cellStyle name="Обычный 2 7" xfId="1515"/>
    <cellStyle name="Обычный 2 7 2" xfId="1516"/>
    <cellStyle name="Обычный 2 7 2 2" xfId="1517"/>
    <cellStyle name="Обычный 2 7 2 2 2" xfId="1518"/>
    <cellStyle name="Обычный 2 7 2 3" xfId="1519"/>
    <cellStyle name="Обычный 2 7 3" xfId="1520"/>
    <cellStyle name="Обычный 2 7 3 2" xfId="1521"/>
    <cellStyle name="Обычный 2 7 4" xfId="1522"/>
    <cellStyle name="Обычный 2 8" xfId="1523"/>
    <cellStyle name="Обычный 2 8 2" xfId="1524"/>
    <cellStyle name="Обычный 2 8 2 2" xfId="1525"/>
    <cellStyle name="Обычный 2 8 3" xfId="1526"/>
    <cellStyle name="Обычный 2 9" xfId="1527"/>
    <cellStyle name="Обычный 2 9 2" xfId="1528"/>
    <cellStyle name="Обычный 2 9 2 2" xfId="1529"/>
    <cellStyle name="Обычный 2 9 3" xfId="1530"/>
    <cellStyle name="Обычный 20" xfId="1531"/>
    <cellStyle name="Обычный 20 2" xfId="1532"/>
    <cellStyle name="Обычный 20 2 2" xfId="1533"/>
    <cellStyle name="Обычный 20 3" xfId="1534"/>
    <cellStyle name="Обычный 20 4" xfId="1535"/>
    <cellStyle name="Обычный 200" xfId="1536"/>
    <cellStyle name="Обычный 200 2" xfId="1537"/>
    <cellStyle name="Обычный 200 2 2" xfId="1538"/>
    <cellStyle name="Обычный 200 3" xfId="1539"/>
    <cellStyle name="Обычный 200 4" xfId="1540"/>
    <cellStyle name="Обычный 201" xfId="1541"/>
    <cellStyle name="Обычный 201 2" xfId="1542"/>
    <cellStyle name="Обычный 201 2 2" xfId="1543"/>
    <cellStyle name="Обычный 201 3" xfId="1544"/>
    <cellStyle name="Обычный 201 4" xfId="1545"/>
    <cellStyle name="Обычный 202" xfId="1546"/>
    <cellStyle name="Обычный 202 2" xfId="1547"/>
    <cellStyle name="Обычный 202 2 2" xfId="1548"/>
    <cellStyle name="Обычный 202 3" xfId="1549"/>
    <cellStyle name="Обычный 202 4" xfId="1550"/>
    <cellStyle name="Обычный 203" xfId="1551"/>
    <cellStyle name="Обычный 203 2" xfId="1552"/>
    <cellStyle name="Обычный 203 2 2" xfId="1553"/>
    <cellStyle name="Обычный 203 3" xfId="1554"/>
    <cellStyle name="Обычный 203 4" xfId="1555"/>
    <cellStyle name="Обычный 204" xfId="1556"/>
    <cellStyle name="Обычный 204 2" xfId="1557"/>
    <cellStyle name="Обычный 204 2 2" xfId="1558"/>
    <cellStyle name="Обычный 204 3" xfId="1559"/>
    <cellStyle name="Обычный 204 4" xfId="1560"/>
    <cellStyle name="Обычный 205" xfId="1561"/>
    <cellStyle name="Обычный 205 2" xfId="1562"/>
    <cellStyle name="Обычный 205 2 2" xfId="1563"/>
    <cellStyle name="Обычный 205 3" xfId="1564"/>
    <cellStyle name="Обычный 205 4" xfId="1565"/>
    <cellStyle name="Обычный 206" xfId="1566"/>
    <cellStyle name="Обычный 207" xfId="1567"/>
    <cellStyle name="Обычный 207 2" xfId="1568"/>
    <cellStyle name="Обычный 207 2 2" xfId="1569"/>
    <cellStyle name="Обычный 207 3" xfId="1570"/>
    <cellStyle name="Обычный 207 4" xfId="1571"/>
    <cellStyle name="Обычный 208" xfId="1572"/>
    <cellStyle name="Обычный 208 2" xfId="1573"/>
    <cellStyle name="Обычный 208 2 2" xfId="1574"/>
    <cellStyle name="Обычный 208 3" xfId="1575"/>
    <cellStyle name="Обычный 208 4" xfId="1576"/>
    <cellStyle name="Обычный 209" xfId="1577"/>
    <cellStyle name="Обычный 209 2" xfId="1578"/>
    <cellStyle name="Обычный 209 2 2" xfId="1579"/>
    <cellStyle name="Обычный 209 3" xfId="1580"/>
    <cellStyle name="Обычный 209 4" xfId="1581"/>
    <cellStyle name="Обычный 21" xfId="1582"/>
    <cellStyle name="Обычный 21 2" xfId="1583"/>
    <cellStyle name="Обычный 21 2 2" xfId="1584"/>
    <cellStyle name="Обычный 21 3" xfId="1585"/>
    <cellStyle name="Обычный 21 4" xfId="1586"/>
    <cellStyle name="Обычный 210" xfId="1587"/>
    <cellStyle name="Обычный 210 2" xfId="1588"/>
    <cellStyle name="Обычный 210 2 2" xfId="1589"/>
    <cellStyle name="Обычный 210 3" xfId="1590"/>
    <cellStyle name="Обычный 210 4" xfId="1591"/>
    <cellStyle name="Обычный 211" xfId="1592"/>
    <cellStyle name="Обычный 211 2" xfId="1593"/>
    <cellStyle name="Обычный 211 2 2" xfId="1594"/>
    <cellStyle name="Обычный 211 3" xfId="1595"/>
    <cellStyle name="Обычный 211 4" xfId="1596"/>
    <cellStyle name="Обычный 212" xfId="1597"/>
    <cellStyle name="Обычный 212 2" xfId="1598"/>
    <cellStyle name="Обычный 212 2 2" xfId="1599"/>
    <cellStyle name="Обычный 212 3" xfId="1600"/>
    <cellStyle name="Обычный 212 4" xfId="1601"/>
    <cellStyle name="Обычный 213" xfId="1602"/>
    <cellStyle name="Обычный 213 2" xfId="1603"/>
    <cellStyle name="Обычный 213 2 2" xfId="1604"/>
    <cellStyle name="Обычный 213 3" xfId="1605"/>
    <cellStyle name="Обычный 213 4" xfId="1606"/>
    <cellStyle name="Обычный 214" xfId="1607"/>
    <cellStyle name="Обычный 214 2" xfId="1608"/>
    <cellStyle name="Обычный 214 2 2" xfId="1609"/>
    <cellStyle name="Обычный 214 3" xfId="1610"/>
    <cellStyle name="Обычный 214 4" xfId="1611"/>
    <cellStyle name="Обычный 215" xfId="1612"/>
    <cellStyle name="Обычный 215 2" xfId="1613"/>
    <cellStyle name="Обычный 215 2 2" xfId="1614"/>
    <cellStyle name="Обычный 215 3" xfId="1615"/>
    <cellStyle name="Обычный 215 4" xfId="1616"/>
    <cellStyle name="Обычный 216" xfId="1617"/>
    <cellStyle name="Обычный 216 2" xfId="1618"/>
    <cellStyle name="Обычный 216 2 2" xfId="1619"/>
    <cellStyle name="Обычный 216 3" xfId="1620"/>
    <cellStyle name="Обычный 216 4" xfId="1621"/>
    <cellStyle name="Обычный 217" xfId="1622"/>
    <cellStyle name="Обычный 217 2" xfId="1623"/>
    <cellStyle name="Обычный 217 2 2" xfId="1624"/>
    <cellStyle name="Обычный 217 3" xfId="1625"/>
    <cellStyle name="Обычный 217 4" xfId="1626"/>
    <cellStyle name="Обычный 218" xfId="1627"/>
    <cellStyle name="Обычный 218 2" xfId="1628"/>
    <cellStyle name="Обычный 218 2 2" xfId="1629"/>
    <cellStyle name="Обычный 218 3" xfId="1630"/>
    <cellStyle name="Обычный 218 4" xfId="1631"/>
    <cellStyle name="Обычный 219" xfId="1632"/>
    <cellStyle name="Обычный 219 2" xfId="1633"/>
    <cellStyle name="Обычный 219 2 2" xfId="1634"/>
    <cellStyle name="Обычный 219 3" xfId="1635"/>
    <cellStyle name="Обычный 219 4" xfId="1636"/>
    <cellStyle name="Обычный 22" xfId="1637"/>
    <cellStyle name="Обычный 22 2" xfId="1638"/>
    <cellStyle name="Обычный 22 2 2" xfId="1639"/>
    <cellStyle name="Обычный 22 3" xfId="1640"/>
    <cellStyle name="Обычный 22 4" xfId="1641"/>
    <cellStyle name="Обычный 22 5" xfId="1642"/>
    <cellStyle name="Обычный 220" xfId="1643"/>
    <cellStyle name="Обычный 220 2" xfId="1644"/>
    <cellStyle name="Обычный 220 2 2" xfId="1645"/>
    <cellStyle name="Обычный 220 3" xfId="1646"/>
    <cellStyle name="Обычный 220 4" xfId="1647"/>
    <cellStyle name="Обычный 221" xfId="1648"/>
    <cellStyle name="Обычный 221 2" xfId="1649"/>
    <cellStyle name="Обычный 221 2 2" xfId="1650"/>
    <cellStyle name="Обычный 221 3" xfId="1651"/>
    <cellStyle name="Обычный 221 4" xfId="1652"/>
    <cellStyle name="Обычный 222" xfId="1653"/>
    <cellStyle name="Обычный 222 2" xfId="1654"/>
    <cellStyle name="Обычный 222 2 2" xfId="1655"/>
    <cellStyle name="Обычный 222 3" xfId="1656"/>
    <cellStyle name="Обычный 222 4" xfId="1657"/>
    <cellStyle name="Обычный 223" xfId="1658"/>
    <cellStyle name="Обычный 223 2" xfId="1659"/>
    <cellStyle name="Обычный 223 2 2" xfId="1660"/>
    <cellStyle name="Обычный 223 3" xfId="1661"/>
    <cellStyle name="Обычный 223 4" xfId="1662"/>
    <cellStyle name="Обычный 224" xfId="1663"/>
    <cellStyle name="Обычный 224 2" xfId="1664"/>
    <cellStyle name="Обычный 224 2 2" xfId="1665"/>
    <cellStyle name="Обычный 224 3" xfId="1666"/>
    <cellStyle name="Обычный 224 4" xfId="1667"/>
    <cellStyle name="Обычный 225" xfId="1668"/>
    <cellStyle name="Обычный 225 2" xfId="1669"/>
    <cellStyle name="Обычный 225 2 2" xfId="1670"/>
    <cellStyle name="Обычный 225 3" xfId="1671"/>
    <cellStyle name="Обычный 225 4" xfId="1672"/>
    <cellStyle name="Обычный 226" xfId="1673"/>
    <cellStyle name="Обычный 226 2" xfId="1674"/>
    <cellStyle name="Обычный 226 2 2" xfId="1675"/>
    <cellStyle name="Обычный 226 3" xfId="1676"/>
    <cellStyle name="Обычный 226 4" xfId="1677"/>
    <cellStyle name="Обычный 227" xfId="1678"/>
    <cellStyle name="Обычный 227 2" xfId="1679"/>
    <cellStyle name="Обычный 227 2 2" xfId="1680"/>
    <cellStyle name="Обычный 227 3" xfId="1681"/>
    <cellStyle name="Обычный 227 4" xfId="1682"/>
    <cellStyle name="Обычный 228" xfId="1683"/>
    <cellStyle name="Обычный 228 2" xfId="1684"/>
    <cellStyle name="Обычный 228 2 2" xfId="1685"/>
    <cellStyle name="Обычный 228 3" xfId="1686"/>
    <cellStyle name="Обычный 228 4" xfId="1687"/>
    <cellStyle name="Обычный 229" xfId="1688"/>
    <cellStyle name="Обычный 229 2" xfId="1689"/>
    <cellStyle name="Обычный 229 2 2" xfId="1690"/>
    <cellStyle name="Обычный 229 3" xfId="1691"/>
    <cellStyle name="Обычный 229 4" xfId="1692"/>
    <cellStyle name="Обычный 23" xfId="1693"/>
    <cellStyle name="Обычный 23 2" xfId="1694"/>
    <cellStyle name="Обычный 23 2 2" xfId="1695"/>
    <cellStyle name="Обычный 23 3" xfId="1696"/>
    <cellStyle name="Обычный 23 4" xfId="1697"/>
    <cellStyle name="Обычный 230" xfId="1698"/>
    <cellStyle name="Обычный 230 2" xfId="1699"/>
    <cellStyle name="Обычный 230 2 2" xfId="1700"/>
    <cellStyle name="Обычный 230 3" xfId="1701"/>
    <cellStyle name="Обычный 230 4" xfId="1702"/>
    <cellStyle name="Обычный 231" xfId="1703"/>
    <cellStyle name="Обычный 231 2" xfId="1704"/>
    <cellStyle name="Обычный 231 2 2" xfId="1705"/>
    <cellStyle name="Обычный 231 3" xfId="1706"/>
    <cellStyle name="Обычный 231 4" xfId="1707"/>
    <cellStyle name="Обычный 232" xfId="1708"/>
    <cellStyle name="Обычный 232 2" xfId="1709"/>
    <cellStyle name="Обычный 232 2 2" xfId="1710"/>
    <cellStyle name="Обычный 232 3" xfId="1711"/>
    <cellStyle name="Обычный 232 4" xfId="1712"/>
    <cellStyle name="Обычный 233" xfId="1713"/>
    <cellStyle name="Обычный 233 2" xfId="1714"/>
    <cellStyle name="Обычный 233 2 2" xfId="1715"/>
    <cellStyle name="Обычный 233 3" xfId="1716"/>
    <cellStyle name="Обычный 233 4" xfId="1717"/>
    <cellStyle name="Обычный 234" xfId="1718"/>
    <cellStyle name="Обычный 234 2" xfId="1719"/>
    <cellStyle name="Обычный 234 2 2" xfId="1720"/>
    <cellStyle name="Обычный 234 3" xfId="1721"/>
    <cellStyle name="Обычный 234 4" xfId="1722"/>
    <cellStyle name="Обычный 235" xfId="1723"/>
    <cellStyle name="Обычный 235 2" xfId="1724"/>
    <cellStyle name="Обычный 235 2 2" xfId="1725"/>
    <cellStyle name="Обычный 235 3" xfId="1726"/>
    <cellStyle name="Обычный 235 4" xfId="1727"/>
    <cellStyle name="Обычный 236" xfId="1728"/>
    <cellStyle name="Обычный 236 2" xfId="1729"/>
    <cellStyle name="Обычный 236 2 2" xfId="1730"/>
    <cellStyle name="Обычный 236 3" xfId="1731"/>
    <cellStyle name="Обычный 236 4" xfId="1732"/>
    <cellStyle name="Обычный 237" xfId="1733"/>
    <cellStyle name="Обычный 237 2" xfId="1734"/>
    <cellStyle name="Обычный 237 2 2" xfId="1735"/>
    <cellStyle name="Обычный 237 3" xfId="1736"/>
    <cellStyle name="Обычный 237 4" xfId="1737"/>
    <cellStyle name="Обычный 238" xfId="1738"/>
    <cellStyle name="Обычный 238 2" xfId="1739"/>
    <cellStyle name="Обычный 238 2 2" xfId="1740"/>
    <cellStyle name="Обычный 238 3" xfId="1741"/>
    <cellStyle name="Обычный 238 4" xfId="1742"/>
    <cellStyle name="Обычный 239" xfId="1743"/>
    <cellStyle name="Обычный 239 2" xfId="1744"/>
    <cellStyle name="Обычный 239 2 2" xfId="1745"/>
    <cellStyle name="Обычный 239 3" xfId="1746"/>
    <cellStyle name="Обычный 239 4" xfId="1747"/>
    <cellStyle name="Обычный 24" xfId="1748"/>
    <cellStyle name="Обычный 24 2" xfId="1749"/>
    <cellStyle name="Обычный 24 2 2" xfId="1750"/>
    <cellStyle name="Обычный 24 3" xfId="1751"/>
    <cellStyle name="Обычный 24 4" xfId="1752"/>
    <cellStyle name="Обычный 240" xfId="1753"/>
    <cellStyle name="Обычный 240 2" xfId="1754"/>
    <cellStyle name="Обычный 240 2 2" xfId="1755"/>
    <cellStyle name="Обычный 240 3" xfId="1756"/>
    <cellStyle name="Обычный 240 4" xfId="1757"/>
    <cellStyle name="Обычный 241" xfId="1758"/>
    <cellStyle name="Обычный 241 2" xfId="1759"/>
    <cellStyle name="Обычный 241 2 2" xfId="1760"/>
    <cellStyle name="Обычный 241 3" xfId="1761"/>
    <cellStyle name="Обычный 241 4" xfId="1762"/>
    <cellStyle name="Обычный 242" xfId="1763"/>
    <cellStyle name="Обычный 242 2" xfId="1764"/>
    <cellStyle name="Обычный 242 2 2" xfId="1765"/>
    <cellStyle name="Обычный 242 3" xfId="1766"/>
    <cellStyle name="Обычный 242 4" xfId="1767"/>
    <cellStyle name="Обычный 243" xfId="1768"/>
    <cellStyle name="Обычный 243 2" xfId="1769"/>
    <cellStyle name="Обычный 243 2 2" xfId="1770"/>
    <cellStyle name="Обычный 243 3" xfId="1771"/>
    <cellStyle name="Обычный 243 4" xfId="1772"/>
    <cellStyle name="Обычный 244" xfId="1773"/>
    <cellStyle name="Обычный 244 2" xfId="1774"/>
    <cellStyle name="Обычный 244 2 2" xfId="1775"/>
    <cellStyle name="Обычный 244 3" xfId="1776"/>
    <cellStyle name="Обычный 244 4" xfId="1777"/>
    <cellStyle name="Обычный 245" xfId="1778"/>
    <cellStyle name="Обычный 245 2" xfId="1779"/>
    <cellStyle name="Обычный 245 2 2" xfId="1780"/>
    <cellStyle name="Обычный 245 3" xfId="1781"/>
    <cellStyle name="Обычный 245 4" xfId="1782"/>
    <cellStyle name="Обычный 246" xfId="1783"/>
    <cellStyle name="Обычный 246 2" xfId="1784"/>
    <cellStyle name="Обычный 246 2 2" xfId="1785"/>
    <cellStyle name="Обычный 246 3" xfId="1786"/>
    <cellStyle name="Обычный 246 4" xfId="1787"/>
    <cellStyle name="Обычный 247" xfId="1788"/>
    <cellStyle name="Обычный 247 2" xfId="1789"/>
    <cellStyle name="Обычный 247 2 2" xfId="1790"/>
    <cellStyle name="Обычный 247 3" xfId="1791"/>
    <cellStyle name="Обычный 247 4" xfId="1792"/>
    <cellStyle name="Обычный 248" xfId="1793"/>
    <cellStyle name="Обычный 248 2" xfId="1794"/>
    <cellStyle name="Обычный 248 2 2" xfId="1795"/>
    <cellStyle name="Обычный 248 3" xfId="1796"/>
    <cellStyle name="Обычный 248 4" xfId="1797"/>
    <cellStyle name="Обычный 249" xfId="1798"/>
    <cellStyle name="Обычный 249 2" xfId="1799"/>
    <cellStyle name="Обычный 249 2 2" xfId="1800"/>
    <cellStyle name="Обычный 249 3" xfId="1801"/>
    <cellStyle name="Обычный 249 4" xfId="1802"/>
    <cellStyle name="Обычный 25" xfId="1803"/>
    <cellStyle name="Обычный 25 2" xfId="1804"/>
    <cellStyle name="Обычный 25 2 2" xfId="1805"/>
    <cellStyle name="Обычный 25 3" xfId="1806"/>
    <cellStyle name="Обычный 25 4" xfId="1807"/>
    <cellStyle name="Обычный 250" xfId="1808"/>
    <cellStyle name="Обычный 250 2" xfId="1809"/>
    <cellStyle name="Обычный 250 2 2" xfId="1810"/>
    <cellStyle name="Обычный 250 3" xfId="1811"/>
    <cellStyle name="Обычный 250 4" xfId="1812"/>
    <cellStyle name="Обычный 251" xfId="1813"/>
    <cellStyle name="Обычный 251 2" xfId="1814"/>
    <cellStyle name="Обычный 251 2 2" xfId="1815"/>
    <cellStyle name="Обычный 251 3" xfId="1816"/>
    <cellStyle name="Обычный 251 4" xfId="1817"/>
    <cellStyle name="Обычный 252" xfId="1818"/>
    <cellStyle name="Обычный 252 2" xfId="1819"/>
    <cellStyle name="Обычный 252 2 2" xfId="1820"/>
    <cellStyle name="Обычный 252 3" xfId="1821"/>
    <cellStyle name="Обычный 252 4" xfId="1822"/>
    <cellStyle name="Обычный 253" xfId="1823"/>
    <cellStyle name="Обычный 253 2" xfId="1824"/>
    <cellStyle name="Обычный 253 2 2" xfId="1825"/>
    <cellStyle name="Обычный 253 3" xfId="1826"/>
    <cellStyle name="Обычный 253 4" xfId="1827"/>
    <cellStyle name="Обычный 254" xfId="1828"/>
    <cellStyle name="Обычный 254 2" xfId="1829"/>
    <cellStyle name="Обычный 254 2 2" xfId="1830"/>
    <cellStyle name="Обычный 254 3" xfId="1831"/>
    <cellStyle name="Обычный 254 4" xfId="1832"/>
    <cellStyle name="Обычный 255" xfId="1833"/>
    <cellStyle name="Обычный 255 2" xfId="1834"/>
    <cellStyle name="Обычный 255 2 2" xfId="1835"/>
    <cellStyle name="Обычный 255 3" xfId="1836"/>
    <cellStyle name="Обычный 255 4" xfId="1837"/>
    <cellStyle name="Обычный 256" xfId="1838"/>
    <cellStyle name="Обычный 256 2" xfId="1839"/>
    <cellStyle name="Обычный 256 2 2" xfId="1840"/>
    <cellStyle name="Обычный 256 3" xfId="1841"/>
    <cellStyle name="Обычный 256 4" xfId="1842"/>
    <cellStyle name="Обычный 257" xfId="1843"/>
    <cellStyle name="Обычный 257 2" xfId="1844"/>
    <cellStyle name="Обычный 257 2 2" xfId="1845"/>
    <cellStyle name="Обычный 257 3" xfId="1846"/>
    <cellStyle name="Обычный 257 4" xfId="1847"/>
    <cellStyle name="Обычный 258" xfId="1848"/>
    <cellStyle name="Обычный 258 2" xfId="1849"/>
    <cellStyle name="Обычный 258 2 2" xfId="1850"/>
    <cellStyle name="Обычный 258 3" xfId="1851"/>
    <cellStyle name="Обычный 258 4" xfId="1852"/>
    <cellStyle name="Обычный 259" xfId="1853"/>
    <cellStyle name="Обычный 259 2" xfId="1854"/>
    <cellStyle name="Обычный 259 2 2" xfId="1855"/>
    <cellStyle name="Обычный 259 3" xfId="1856"/>
    <cellStyle name="Обычный 259 4" xfId="1857"/>
    <cellStyle name="Обычный 26" xfId="1858"/>
    <cellStyle name="Обычный 26 2" xfId="1859"/>
    <cellStyle name="Обычный 26 2 2" xfId="1860"/>
    <cellStyle name="Обычный 26 3" xfId="1861"/>
    <cellStyle name="Обычный 26 4" xfId="1862"/>
    <cellStyle name="Обычный 260" xfId="1863"/>
    <cellStyle name="Обычный 260 2" xfId="1864"/>
    <cellStyle name="Обычный 260 2 2" xfId="1865"/>
    <cellStyle name="Обычный 260 3" xfId="1866"/>
    <cellStyle name="Обычный 260 4" xfId="1867"/>
    <cellStyle name="Обычный 261" xfId="1868"/>
    <cellStyle name="Обычный 261 2" xfId="1869"/>
    <cellStyle name="Обычный 261 2 2" xfId="1870"/>
    <cellStyle name="Обычный 261 3" xfId="1871"/>
    <cellStyle name="Обычный 261 4" xfId="1872"/>
    <cellStyle name="Обычный 262" xfId="1873"/>
    <cellStyle name="Обычный 262 2" xfId="1874"/>
    <cellStyle name="Обычный 262 2 2" xfId="1875"/>
    <cellStyle name="Обычный 262 3" xfId="1876"/>
    <cellStyle name="Обычный 262 4" xfId="1877"/>
    <cellStyle name="Обычный 263" xfId="1878"/>
    <cellStyle name="Обычный 263 2" xfId="1879"/>
    <cellStyle name="Обычный 263 2 2" xfId="1880"/>
    <cellStyle name="Обычный 263 3" xfId="1881"/>
    <cellStyle name="Обычный 263 4" xfId="1882"/>
    <cellStyle name="Обычный 264" xfId="1883"/>
    <cellStyle name="Обычный 264 2" xfId="1884"/>
    <cellStyle name="Обычный 264 2 2" xfId="1885"/>
    <cellStyle name="Обычный 264 3" xfId="1886"/>
    <cellStyle name="Обычный 264 4" xfId="1887"/>
    <cellStyle name="Обычный 265" xfId="1888"/>
    <cellStyle name="Обычный 265 2" xfId="1889"/>
    <cellStyle name="Обычный 265 2 2" xfId="1890"/>
    <cellStyle name="Обычный 265 3" xfId="1891"/>
    <cellStyle name="Обычный 265 4" xfId="1892"/>
    <cellStyle name="Обычный 266" xfId="1893"/>
    <cellStyle name="Обычный 266 2" xfId="1894"/>
    <cellStyle name="Обычный 266 2 2" xfId="1895"/>
    <cellStyle name="Обычный 266 3" xfId="1896"/>
    <cellStyle name="Обычный 266 4" xfId="1897"/>
    <cellStyle name="Обычный 267" xfId="1898"/>
    <cellStyle name="Обычный 267 2" xfId="1899"/>
    <cellStyle name="Обычный 267 2 2" xfId="1900"/>
    <cellStyle name="Обычный 267 3" xfId="1901"/>
    <cellStyle name="Обычный 267 4" xfId="1902"/>
    <cellStyle name="Обычный 268" xfId="1903"/>
    <cellStyle name="Обычный 268 2" xfId="1904"/>
    <cellStyle name="Обычный 268 2 2" xfId="1905"/>
    <cellStyle name="Обычный 268 3" xfId="1906"/>
    <cellStyle name="Обычный 268 4" xfId="1907"/>
    <cellStyle name="Обычный 269" xfId="1908"/>
    <cellStyle name="Обычный 269 2" xfId="1909"/>
    <cellStyle name="Обычный 269 2 2" xfId="1910"/>
    <cellStyle name="Обычный 269 3" xfId="1911"/>
    <cellStyle name="Обычный 269 4" xfId="1912"/>
    <cellStyle name="Обычный 27" xfId="1913"/>
    <cellStyle name="Обычный 27 2" xfId="1914"/>
    <cellStyle name="Обычный 27 2 2" xfId="1915"/>
    <cellStyle name="Обычный 27 3" xfId="1916"/>
    <cellStyle name="Обычный 27 4" xfId="1917"/>
    <cellStyle name="Обычный 270" xfId="1918"/>
    <cellStyle name="Обычный 270 2" xfId="1919"/>
    <cellStyle name="Обычный 270 2 2" xfId="1920"/>
    <cellStyle name="Обычный 270 3" xfId="1921"/>
    <cellStyle name="Обычный 270 4" xfId="1922"/>
    <cellStyle name="Обычный 271" xfId="1923"/>
    <cellStyle name="Обычный 271 2" xfId="1924"/>
    <cellStyle name="Обычный 271 2 2" xfId="1925"/>
    <cellStyle name="Обычный 271 3" xfId="1926"/>
    <cellStyle name="Обычный 271 4" xfId="1927"/>
    <cellStyle name="Обычный 272" xfId="1928"/>
    <cellStyle name="Обычный 272 2" xfId="1929"/>
    <cellStyle name="Обычный 272 2 2" xfId="1930"/>
    <cellStyle name="Обычный 272 3" xfId="1931"/>
    <cellStyle name="Обычный 272 4" xfId="1932"/>
    <cellStyle name="Обычный 273" xfId="1933"/>
    <cellStyle name="Обычный 273 2" xfId="1934"/>
    <cellStyle name="Обычный 273 2 2" xfId="1935"/>
    <cellStyle name="Обычный 273 3" xfId="1936"/>
    <cellStyle name="Обычный 273 4" xfId="1937"/>
    <cellStyle name="Обычный 274" xfId="1938"/>
    <cellStyle name="Обычный 274 2" xfId="1939"/>
    <cellStyle name="Обычный 274 2 2" xfId="1940"/>
    <cellStyle name="Обычный 274 3" xfId="1941"/>
    <cellStyle name="Обычный 274 4" xfId="1942"/>
    <cellStyle name="Обычный 275" xfId="1943"/>
    <cellStyle name="Обычный 275 2" xfId="1944"/>
    <cellStyle name="Обычный 275 2 2" xfId="1945"/>
    <cellStyle name="Обычный 275 3" xfId="1946"/>
    <cellStyle name="Обычный 275 4" xfId="1947"/>
    <cellStyle name="Обычный 276" xfId="1948"/>
    <cellStyle name="Обычный 276 2" xfId="1949"/>
    <cellStyle name="Обычный 276 2 2" xfId="1950"/>
    <cellStyle name="Обычный 276 3" xfId="1951"/>
    <cellStyle name="Обычный 276 4" xfId="1952"/>
    <cellStyle name="Обычный 277" xfId="1953"/>
    <cellStyle name="Обычный 277 2" xfId="1954"/>
    <cellStyle name="Обычный 277 2 2" xfId="1955"/>
    <cellStyle name="Обычный 277 3" xfId="1956"/>
    <cellStyle name="Обычный 277 4" xfId="1957"/>
    <cellStyle name="Обычный 278" xfId="1958"/>
    <cellStyle name="Обычный 278 2" xfId="1959"/>
    <cellStyle name="Обычный 278 2 2" xfId="1960"/>
    <cellStyle name="Обычный 278 3" xfId="1961"/>
    <cellStyle name="Обычный 278 4" xfId="1962"/>
    <cellStyle name="Обычный 279" xfId="1963"/>
    <cellStyle name="Обычный 279 2" xfId="1964"/>
    <cellStyle name="Обычный 279 2 2" xfId="1965"/>
    <cellStyle name="Обычный 279 3" xfId="1966"/>
    <cellStyle name="Обычный 279 4" xfId="1967"/>
    <cellStyle name="Обычный 28" xfId="1968"/>
    <cellStyle name="Обычный 28 2" xfId="1969"/>
    <cellStyle name="Обычный 28 2 2" xfId="1970"/>
    <cellStyle name="Обычный 28 3" xfId="1971"/>
    <cellStyle name="Обычный 28 4" xfId="1972"/>
    <cellStyle name="Обычный 280" xfId="1973"/>
    <cellStyle name="Обычный 280 2" xfId="1974"/>
    <cellStyle name="Обычный 280 2 2" xfId="1975"/>
    <cellStyle name="Обычный 280 3" xfId="1976"/>
    <cellStyle name="Обычный 280 4" xfId="1977"/>
    <cellStyle name="Обычный 281" xfId="1978"/>
    <cellStyle name="Обычный 281 2" xfId="1979"/>
    <cellStyle name="Обычный 281 2 2" xfId="1980"/>
    <cellStyle name="Обычный 281 3" xfId="1981"/>
    <cellStyle name="Обычный 281 4" xfId="1982"/>
    <cellStyle name="Обычный 282" xfId="1983"/>
    <cellStyle name="Обычный 282 2" xfId="1984"/>
    <cellStyle name="Обычный 282 2 2" xfId="1985"/>
    <cellStyle name="Обычный 282 3" xfId="1986"/>
    <cellStyle name="Обычный 282 4" xfId="1987"/>
    <cellStyle name="Обычный 283" xfId="1988"/>
    <cellStyle name="Обычный 283 2" xfId="1989"/>
    <cellStyle name="Обычный 283 2 2" xfId="1990"/>
    <cellStyle name="Обычный 283 3" xfId="1991"/>
    <cellStyle name="Обычный 283 4" xfId="1992"/>
    <cellStyle name="Обычный 284" xfId="1993"/>
    <cellStyle name="Обычный 284 2" xfId="1994"/>
    <cellStyle name="Обычный 284 2 2" xfId="1995"/>
    <cellStyle name="Обычный 284 3" xfId="1996"/>
    <cellStyle name="Обычный 284 4" xfId="1997"/>
    <cellStyle name="Обычный 285" xfId="1998"/>
    <cellStyle name="Обычный 285 2" xfId="1999"/>
    <cellStyle name="Обычный 285 2 2" xfId="2000"/>
    <cellStyle name="Обычный 285 3" xfId="2001"/>
    <cellStyle name="Обычный 285 4" xfId="2002"/>
    <cellStyle name="Обычный 286" xfId="2003"/>
    <cellStyle name="Обычный 286 2" xfId="2004"/>
    <cellStyle name="Обычный 286 2 2" xfId="2005"/>
    <cellStyle name="Обычный 286 3" xfId="2006"/>
    <cellStyle name="Обычный 286 4" xfId="2007"/>
    <cellStyle name="Обычный 287" xfId="2008"/>
    <cellStyle name="Обычный 287 2" xfId="2009"/>
    <cellStyle name="Обычный 287 2 2" xfId="2010"/>
    <cellStyle name="Обычный 287 3" xfId="2011"/>
    <cellStyle name="Обычный 287 4" xfId="2012"/>
    <cellStyle name="Обычный 288" xfId="2013"/>
    <cellStyle name="Обычный 288 2" xfId="2014"/>
    <cellStyle name="Обычный 288 2 2" xfId="2015"/>
    <cellStyle name="Обычный 288 3" xfId="2016"/>
    <cellStyle name="Обычный 288 4" xfId="2017"/>
    <cellStyle name="Обычный 289" xfId="2018"/>
    <cellStyle name="Обычный 289 2" xfId="2019"/>
    <cellStyle name="Обычный 289 2 2" xfId="2020"/>
    <cellStyle name="Обычный 289 3" xfId="2021"/>
    <cellStyle name="Обычный 289 4" xfId="2022"/>
    <cellStyle name="Обычный 29" xfId="2023"/>
    <cellStyle name="Обычный 29 2" xfId="2024"/>
    <cellStyle name="Обычный 29 2 2" xfId="2025"/>
    <cellStyle name="Обычный 29 3" xfId="2026"/>
    <cellStyle name="Обычный 29 4" xfId="2027"/>
    <cellStyle name="Обычный 290" xfId="2028"/>
    <cellStyle name="Обычный 290 2" xfId="2029"/>
    <cellStyle name="Обычный 290 2 2" xfId="2030"/>
    <cellStyle name="Обычный 290 3" xfId="2031"/>
    <cellStyle name="Обычный 290 4" xfId="2032"/>
    <cellStyle name="Обычный 291" xfId="2033"/>
    <cellStyle name="Обычный 291 2" xfId="2034"/>
    <cellStyle name="Обычный 291 2 2" xfId="2035"/>
    <cellStyle name="Обычный 291 3" xfId="2036"/>
    <cellStyle name="Обычный 291 4" xfId="2037"/>
    <cellStyle name="Обычный 292" xfId="2038"/>
    <cellStyle name="Обычный 292 2" xfId="2039"/>
    <cellStyle name="Обычный 292 2 2" xfId="2040"/>
    <cellStyle name="Обычный 292 3" xfId="2041"/>
    <cellStyle name="Обычный 292 4" xfId="2042"/>
    <cellStyle name="Обычный 293" xfId="2043"/>
    <cellStyle name="Обычный 293 2" xfId="2044"/>
    <cellStyle name="Обычный 293 2 2" xfId="2045"/>
    <cellStyle name="Обычный 293 3" xfId="2046"/>
    <cellStyle name="Обычный 293 4" xfId="2047"/>
    <cellStyle name="Обычный 294" xfId="2048"/>
    <cellStyle name="Обычный 294 2" xfId="2049"/>
    <cellStyle name="Обычный 294 2 2" xfId="2050"/>
    <cellStyle name="Обычный 294 3" xfId="2051"/>
    <cellStyle name="Обычный 294 4" xfId="2052"/>
    <cellStyle name="Обычный 295" xfId="2053"/>
    <cellStyle name="Обычный 295 2" xfId="2054"/>
    <cellStyle name="Обычный 295 2 2" xfId="2055"/>
    <cellStyle name="Обычный 295 3" xfId="2056"/>
    <cellStyle name="Обычный 295 4" xfId="2057"/>
    <cellStyle name="Обычный 296" xfId="2058"/>
    <cellStyle name="Обычный 296 2" xfId="2059"/>
    <cellStyle name="Обычный 296 2 2" xfId="2060"/>
    <cellStyle name="Обычный 296 3" xfId="2061"/>
    <cellStyle name="Обычный 296 4" xfId="2062"/>
    <cellStyle name="Обычный 297" xfId="2063"/>
    <cellStyle name="Обычный 297 2" xfId="2064"/>
    <cellStyle name="Обычный 297 2 2" xfId="2065"/>
    <cellStyle name="Обычный 297 3" xfId="2066"/>
    <cellStyle name="Обычный 297 4" xfId="2067"/>
    <cellStyle name="Обычный 298" xfId="2068"/>
    <cellStyle name="Обычный 298 2" xfId="2069"/>
    <cellStyle name="Обычный 298 2 2" xfId="2070"/>
    <cellStyle name="Обычный 298 3" xfId="2071"/>
    <cellStyle name="Обычный 298 4" xfId="2072"/>
    <cellStyle name="Обычный 299" xfId="2073"/>
    <cellStyle name="Обычный 299 2" xfId="2074"/>
    <cellStyle name="Обычный 299 2 2" xfId="2075"/>
    <cellStyle name="Обычный 299 3" xfId="2076"/>
    <cellStyle name="Обычный 299 4" xfId="2077"/>
    <cellStyle name="Обычный 3" xfId="2078"/>
    <cellStyle name="Обычный 3 2" xfId="2079"/>
    <cellStyle name="Обычный 3 2 2" xfId="2080"/>
    <cellStyle name="Обычный 3 2 3" xfId="2081"/>
    <cellStyle name="Обычный 3 2 4" xfId="2082"/>
    <cellStyle name="Обычный 3 2 5" xfId="2083"/>
    <cellStyle name="Обычный 3 2 6" xfId="2084"/>
    <cellStyle name="Обычный 3 3" xfId="2085"/>
    <cellStyle name="Обычный 3 3 2" xfId="2086"/>
    <cellStyle name="Обычный 3 3 3" xfId="2087"/>
    <cellStyle name="Обычный 3 3 4" xfId="2088"/>
    <cellStyle name="Обычный 3 3 5" xfId="2089"/>
    <cellStyle name="Обычный 3 4" xfId="2090"/>
    <cellStyle name="Обычный 3 4 2" xfId="2091"/>
    <cellStyle name="Обычный 3 4 3" xfId="2092"/>
    <cellStyle name="Обычный 3 4 4" xfId="2093"/>
    <cellStyle name="Обычный 3 4 5" xfId="2094"/>
    <cellStyle name="Обычный 3 5" xfId="2095"/>
    <cellStyle name="Обычный 3 6" xfId="2096"/>
    <cellStyle name="Обычный 30" xfId="2097"/>
    <cellStyle name="Обычный 30 2" xfId="2098"/>
    <cellStyle name="Обычный 30 2 2" xfId="2099"/>
    <cellStyle name="Обычный 30 3" xfId="2100"/>
    <cellStyle name="Обычный 30 4" xfId="2101"/>
    <cellStyle name="Обычный 300" xfId="2102"/>
    <cellStyle name="Обычный 300 2" xfId="2103"/>
    <cellStyle name="Обычный 300 2 2" xfId="2104"/>
    <cellStyle name="Обычный 300 3" xfId="2105"/>
    <cellStyle name="Обычный 300 4" xfId="2106"/>
    <cellStyle name="Обычный 301" xfId="2107"/>
    <cellStyle name="Обычный 301 2" xfId="2108"/>
    <cellStyle name="Обычный 301 2 2" xfId="2109"/>
    <cellStyle name="Обычный 301 3" xfId="2110"/>
    <cellStyle name="Обычный 301 4" xfId="2111"/>
    <cellStyle name="Обычный 302" xfId="2112"/>
    <cellStyle name="Обычный 302 2" xfId="2113"/>
    <cellStyle name="Обычный 302 2 2" xfId="2114"/>
    <cellStyle name="Обычный 302 3" xfId="2115"/>
    <cellStyle name="Обычный 302 4" xfId="2116"/>
    <cellStyle name="Обычный 303" xfId="2117"/>
    <cellStyle name="Обычный 303 2" xfId="2118"/>
    <cellStyle name="Обычный 303 2 2" xfId="2119"/>
    <cellStyle name="Обычный 303 3" xfId="2120"/>
    <cellStyle name="Обычный 303 4" xfId="2121"/>
    <cellStyle name="Обычный 304" xfId="2122"/>
    <cellStyle name="Обычный 304 2" xfId="2123"/>
    <cellStyle name="Обычный 304 2 2" xfId="2124"/>
    <cellStyle name="Обычный 304 3" xfId="2125"/>
    <cellStyle name="Обычный 304 4" xfId="2126"/>
    <cellStyle name="Обычный 305" xfId="2127"/>
    <cellStyle name="Обычный 305 2" xfId="2128"/>
    <cellStyle name="Обычный 305 2 2" xfId="2129"/>
    <cellStyle name="Обычный 305 3" xfId="2130"/>
    <cellStyle name="Обычный 305 4" xfId="2131"/>
    <cellStyle name="Обычный 306" xfId="2132"/>
    <cellStyle name="Обычный 306 2" xfId="2133"/>
    <cellStyle name="Обычный 306 2 2" xfId="2134"/>
    <cellStyle name="Обычный 306 3" xfId="2135"/>
    <cellStyle name="Обычный 306 4" xfId="2136"/>
    <cellStyle name="Обычный 307" xfId="2137"/>
    <cellStyle name="Обычный 307 2" xfId="2138"/>
    <cellStyle name="Обычный 307 2 2" xfId="2139"/>
    <cellStyle name="Обычный 307 3" xfId="2140"/>
    <cellStyle name="Обычный 307 4" xfId="2141"/>
    <cellStyle name="Обычный 308" xfId="2142"/>
    <cellStyle name="Обычный 308 2" xfId="2143"/>
    <cellStyle name="Обычный 308 2 2" xfId="2144"/>
    <cellStyle name="Обычный 308 3" xfId="2145"/>
    <cellStyle name="Обычный 308 4" xfId="2146"/>
    <cellStyle name="Обычный 309" xfId="2147"/>
    <cellStyle name="Обычный 309 2" xfId="2148"/>
    <cellStyle name="Обычный 309 2 2" xfId="2149"/>
    <cellStyle name="Обычный 309 3" xfId="2150"/>
    <cellStyle name="Обычный 309 4" xfId="2151"/>
    <cellStyle name="Обычный 31" xfId="2152"/>
    <cellStyle name="Обычный 31 2" xfId="2153"/>
    <cellStyle name="Обычный 31 2 2" xfId="2154"/>
    <cellStyle name="Обычный 31 3" xfId="2155"/>
    <cellStyle name="Обычный 31 4" xfId="2156"/>
    <cellStyle name="Обычный 310" xfId="2157"/>
    <cellStyle name="Обычный 311" xfId="2158"/>
    <cellStyle name="Обычный 311 2" xfId="2159"/>
    <cellStyle name="Обычный 311 2 2" xfId="2160"/>
    <cellStyle name="Обычный 311 3" xfId="2161"/>
    <cellStyle name="Обычный 311 4" xfId="2162"/>
    <cellStyle name="Обычный 312" xfId="2163"/>
    <cellStyle name="Обычный 312 2" xfId="2164"/>
    <cellStyle name="Обычный 312 2 2" xfId="2165"/>
    <cellStyle name="Обычный 312 3" xfId="2166"/>
    <cellStyle name="Обычный 312 4" xfId="2167"/>
    <cellStyle name="Обычный 313" xfId="2168"/>
    <cellStyle name="Обычный 313 2" xfId="2169"/>
    <cellStyle name="Обычный 313 2 2" xfId="2170"/>
    <cellStyle name="Обычный 313 3" xfId="2171"/>
    <cellStyle name="Обычный 313 4" xfId="2172"/>
    <cellStyle name="Обычный 314" xfId="2173"/>
    <cellStyle name="Обычный 314 2" xfId="2174"/>
    <cellStyle name="Обычный 314 2 2" xfId="2175"/>
    <cellStyle name="Обычный 314 3" xfId="2176"/>
    <cellStyle name="Обычный 314 4" xfId="2177"/>
    <cellStyle name="Обычный 315" xfId="2178"/>
    <cellStyle name="Обычный 315 2" xfId="2179"/>
    <cellStyle name="Обычный 315 2 2" xfId="2180"/>
    <cellStyle name="Обычный 315 3" xfId="2181"/>
    <cellStyle name="Обычный 315 4" xfId="2182"/>
    <cellStyle name="Обычный 316" xfId="2183"/>
    <cellStyle name="Обычный 316 2" xfId="2184"/>
    <cellStyle name="Обычный 316 2 2" xfId="2185"/>
    <cellStyle name="Обычный 316 3" xfId="2186"/>
    <cellStyle name="Обычный 316 4" xfId="2187"/>
    <cellStyle name="Обычный 317" xfId="2188"/>
    <cellStyle name="Обычный 317 2" xfId="2189"/>
    <cellStyle name="Обычный 317 2 2" xfId="2190"/>
    <cellStyle name="Обычный 317 3" xfId="2191"/>
    <cellStyle name="Обычный 317 4" xfId="2192"/>
    <cellStyle name="Обычный 318" xfId="2193"/>
    <cellStyle name="Обычный 318 2" xfId="2194"/>
    <cellStyle name="Обычный 318 2 2" xfId="2195"/>
    <cellStyle name="Обычный 318 3" xfId="2196"/>
    <cellStyle name="Обычный 318 4" xfId="2197"/>
    <cellStyle name="Обычный 319" xfId="2198"/>
    <cellStyle name="Обычный 319 2" xfId="2199"/>
    <cellStyle name="Обычный 319 2 2" xfId="2200"/>
    <cellStyle name="Обычный 319 3" xfId="2201"/>
    <cellStyle name="Обычный 319 4" xfId="2202"/>
    <cellStyle name="Обычный 32" xfId="2203"/>
    <cellStyle name="Обычный 32 2" xfId="2204"/>
    <cellStyle name="Обычный 32 2 2" xfId="2205"/>
    <cellStyle name="Обычный 32 3" xfId="2206"/>
    <cellStyle name="Обычный 32 4" xfId="2207"/>
    <cellStyle name="Обычный 320" xfId="2208"/>
    <cellStyle name="Обычный 320 2" xfId="2209"/>
    <cellStyle name="Обычный 320 2 2" xfId="2210"/>
    <cellStyle name="Обычный 320 3" xfId="2211"/>
    <cellStyle name="Обычный 320 4" xfId="2212"/>
    <cellStyle name="Обычный 321" xfId="2213"/>
    <cellStyle name="Обычный 321 2" xfId="2214"/>
    <cellStyle name="Обычный 321 2 2" xfId="2215"/>
    <cellStyle name="Обычный 321 3" xfId="2216"/>
    <cellStyle name="Обычный 321 4" xfId="2217"/>
    <cellStyle name="Обычный 322" xfId="2218"/>
    <cellStyle name="Обычный 322 2" xfId="2219"/>
    <cellStyle name="Обычный 322 2 2" xfId="2220"/>
    <cellStyle name="Обычный 322 3" xfId="2221"/>
    <cellStyle name="Обычный 322 4" xfId="2222"/>
    <cellStyle name="Обычный 323" xfId="2223"/>
    <cellStyle name="Обычный 323 2" xfId="2224"/>
    <cellStyle name="Обычный 323 2 2" xfId="2225"/>
    <cellStyle name="Обычный 323 3" xfId="2226"/>
    <cellStyle name="Обычный 323 4" xfId="2227"/>
    <cellStyle name="Обычный 324" xfId="2228"/>
    <cellStyle name="Обычный 324 2" xfId="2229"/>
    <cellStyle name="Обычный 324 2 2" xfId="2230"/>
    <cellStyle name="Обычный 324 3" xfId="2231"/>
    <cellStyle name="Обычный 324 4" xfId="2232"/>
    <cellStyle name="Обычный 325" xfId="2233"/>
    <cellStyle name="Обычный 325 2" xfId="2234"/>
    <cellStyle name="Обычный 325 2 2" xfId="2235"/>
    <cellStyle name="Обычный 325 3" xfId="2236"/>
    <cellStyle name="Обычный 325 4" xfId="2237"/>
    <cellStyle name="Обычный 326" xfId="2238"/>
    <cellStyle name="Обычный 326 2" xfId="2239"/>
    <cellStyle name="Обычный 326 2 2" xfId="2240"/>
    <cellStyle name="Обычный 326 3" xfId="2241"/>
    <cellStyle name="Обычный 326 4" xfId="2242"/>
    <cellStyle name="Обычный 327" xfId="2243"/>
    <cellStyle name="Обычный 327 2" xfId="2244"/>
    <cellStyle name="Обычный 327 2 2" xfId="2245"/>
    <cellStyle name="Обычный 327 3" xfId="2246"/>
    <cellStyle name="Обычный 327 4" xfId="2247"/>
    <cellStyle name="Обычный 328" xfId="2248"/>
    <cellStyle name="Обычный 328 2" xfId="2249"/>
    <cellStyle name="Обычный 328 2 2" xfId="2250"/>
    <cellStyle name="Обычный 328 3" xfId="2251"/>
    <cellStyle name="Обычный 328 4" xfId="2252"/>
    <cellStyle name="Обычный 329" xfId="2253"/>
    <cellStyle name="Обычный 329 2" xfId="2254"/>
    <cellStyle name="Обычный 329 2 2" xfId="2255"/>
    <cellStyle name="Обычный 329 3" xfId="2256"/>
    <cellStyle name="Обычный 329 4" xfId="2257"/>
    <cellStyle name="Обычный 33" xfId="2258"/>
    <cellStyle name="Обычный 33 2" xfId="2259"/>
    <cellStyle name="Обычный 33 2 2" xfId="2260"/>
    <cellStyle name="Обычный 33 3" xfId="2261"/>
    <cellStyle name="Обычный 33 4" xfId="2262"/>
    <cellStyle name="Обычный 330" xfId="2263"/>
    <cellStyle name="Обычный 330 2" xfId="2264"/>
    <cellStyle name="Обычный 330 2 2" xfId="2265"/>
    <cellStyle name="Обычный 330 3" xfId="2266"/>
    <cellStyle name="Обычный 330 4" xfId="2267"/>
    <cellStyle name="Обычный 331" xfId="2268"/>
    <cellStyle name="Обычный 331 2" xfId="2269"/>
    <cellStyle name="Обычный 331 2 2" xfId="2270"/>
    <cellStyle name="Обычный 331 3" xfId="2271"/>
    <cellStyle name="Обычный 331 4" xfId="2272"/>
    <cellStyle name="Обычный 332" xfId="2273"/>
    <cellStyle name="Обычный 332 2" xfId="2274"/>
    <cellStyle name="Обычный 332 2 2" xfId="2275"/>
    <cellStyle name="Обычный 332 3" xfId="2276"/>
    <cellStyle name="Обычный 332 4" xfId="2277"/>
    <cellStyle name="Обычный 333" xfId="2278"/>
    <cellStyle name="Обычный 333 2" xfId="2279"/>
    <cellStyle name="Обычный 333 2 2" xfId="2280"/>
    <cellStyle name="Обычный 333 3" xfId="2281"/>
    <cellStyle name="Обычный 333 4" xfId="2282"/>
    <cellStyle name="Обычный 334" xfId="2283"/>
    <cellStyle name="Обычный 334 2" xfId="2284"/>
    <cellStyle name="Обычный 334 2 2" xfId="2285"/>
    <cellStyle name="Обычный 334 3" xfId="2286"/>
    <cellStyle name="Обычный 334 4" xfId="2287"/>
    <cellStyle name="Обычный 335" xfId="2288"/>
    <cellStyle name="Обычный 335 2" xfId="2289"/>
    <cellStyle name="Обычный 335 2 2" xfId="2290"/>
    <cellStyle name="Обычный 335 3" xfId="2291"/>
    <cellStyle name="Обычный 335 4" xfId="2292"/>
    <cellStyle name="Обычный 336" xfId="2293"/>
    <cellStyle name="Обычный 336 2" xfId="2294"/>
    <cellStyle name="Обычный 336 2 2" xfId="2295"/>
    <cellStyle name="Обычный 336 3" xfId="2296"/>
    <cellStyle name="Обычный 336 4" xfId="2297"/>
    <cellStyle name="Обычный 337" xfId="2298"/>
    <cellStyle name="Обычный 337 2" xfId="2299"/>
    <cellStyle name="Обычный 337 2 2" xfId="2300"/>
    <cellStyle name="Обычный 337 3" xfId="2301"/>
    <cellStyle name="Обычный 337 4" xfId="2302"/>
    <cellStyle name="Обычный 338" xfId="2303"/>
    <cellStyle name="Обычный 338 2" xfId="2304"/>
    <cellStyle name="Обычный 338 2 2" xfId="2305"/>
    <cellStyle name="Обычный 338 3" xfId="2306"/>
    <cellStyle name="Обычный 338 4" xfId="2307"/>
    <cellStyle name="Обычный 339" xfId="2308"/>
    <cellStyle name="Обычный 339 2" xfId="2309"/>
    <cellStyle name="Обычный 339 2 2" xfId="2310"/>
    <cellStyle name="Обычный 339 3" xfId="2311"/>
    <cellStyle name="Обычный 339 4" xfId="2312"/>
    <cellStyle name="Обычный 34" xfId="2313"/>
    <cellStyle name="Обычный 34 2" xfId="2314"/>
    <cellStyle name="Обычный 34 2 2" xfId="2315"/>
    <cellStyle name="Обычный 34 3" xfId="2316"/>
    <cellStyle name="Обычный 34 4" xfId="2317"/>
    <cellStyle name="Обычный 340" xfId="2318"/>
    <cellStyle name="Обычный 340 2" xfId="2319"/>
    <cellStyle name="Обычный 340 2 2" xfId="2320"/>
    <cellStyle name="Обычный 340 3" xfId="2321"/>
    <cellStyle name="Обычный 340 4" xfId="2322"/>
    <cellStyle name="Обычный 341" xfId="2323"/>
    <cellStyle name="Обычный 341 2" xfId="2324"/>
    <cellStyle name="Обычный 341 2 2" xfId="2325"/>
    <cellStyle name="Обычный 341 3" xfId="2326"/>
    <cellStyle name="Обычный 341 4" xfId="2327"/>
    <cellStyle name="Обычный 342" xfId="2328"/>
    <cellStyle name="Обычный 342 2" xfId="2329"/>
    <cellStyle name="Обычный 342 2 2" xfId="2330"/>
    <cellStyle name="Обычный 342 3" xfId="2331"/>
    <cellStyle name="Обычный 342 4" xfId="2332"/>
    <cellStyle name="Обычный 343" xfId="2333"/>
    <cellStyle name="Обычный 343 2" xfId="2334"/>
    <cellStyle name="Обычный 343 2 2" xfId="2335"/>
    <cellStyle name="Обычный 343 3" xfId="2336"/>
    <cellStyle name="Обычный 343 4" xfId="2337"/>
    <cellStyle name="Обычный 344" xfId="2338"/>
    <cellStyle name="Обычный 344 2" xfId="2339"/>
    <cellStyle name="Обычный 344 2 2" xfId="2340"/>
    <cellStyle name="Обычный 344 3" xfId="2341"/>
    <cellStyle name="Обычный 344 4" xfId="2342"/>
    <cellStyle name="Обычный 345" xfId="2343"/>
    <cellStyle name="Обычный 345 2" xfId="2344"/>
    <cellStyle name="Обычный 345 2 2" xfId="2345"/>
    <cellStyle name="Обычный 345 3" xfId="2346"/>
    <cellStyle name="Обычный 345 4" xfId="2347"/>
    <cellStyle name="Обычный 346" xfId="2348"/>
    <cellStyle name="Обычный 346 2" xfId="2349"/>
    <cellStyle name="Обычный 346 2 2" xfId="2350"/>
    <cellStyle name="Обычный 346 3" xfId="2351"/>
    <cellStyle name="Обычный 346 4" xfId="2352"/>
    <cellStyle name="Обычный 347" xfId="2353"/>
    <cellStyle name="Обычный 347 2" xfId="2354"/>
    <cellStyle name="Обычный 347 2 2" xfId="2355"/>
    <cellStyle name="Обычный 347 3" xfId="2356"/>
    <cellStyle name="Обычный 347 4" xfId="2357"/>
    <cellStyle name="Обычный 348" xfId="2358"/>
    <cellStyle name="Обычный 348 2" xfId="2359"/>
    <cellStyle name="Обычный 348 2 2" xfId="2360"/>
    <cellStyle name="Обычный 348 3" xfId="2361"/>
    <cellStyle name="Обычный 348 4" xfId="2362"/>
    <cellStyle name="Обычный 349" xfId="2363"/>
    <cellStyle name="Обычный 349 2" xfId="2364"/>
    <cellStyle name="Обычный 349 2 2" xfId="2365"/>
    <cellStyle name="Обычный 349 3" xfId="2366"/>
    <cellStyle name="Обычный 349 4" xfId="2367"/>
    <cellStyle name="Обычный 35" xfId="2368"/>
    <cellStyle name="Обычный 35 2" xfId="2369"/>
    <cellStyle name="Обычный 35 2 2" xfId="2370"/>
    <cellStyle name="Обычный 35 2 3" xfId="2371"/>
    <cellStyle name="Обычный 35 3" xfId="2372"/>
    <cellStyle name="Обычный 35 3 2" xfId="2373"/>
    <cellStyle name="Обычный 35 4" xfId="2374"/>
    <cellStyle name="Обычный 35 5" xfId="2375"/>
    <cellStyle name="Обычный 35 6" xfId="2376"/>
    <cellStyle name="Обычный 35 7" xfId="2377"/>
    <cellStyle name="Обычный 35 8" xfId="2378"/>
    <cellStyle name="Обычный 350" xfId="2379"/>
    <cellStyle name="Обычный 350 2" xfId="2380"/>
    <cellStyle name="Обычный 350 2 2" xfId="2381"/>
    <cellStyle name="Обычный 350 3" xfId="2382"/>
    <cellStyle name="Обычный 350 4" xfId="2383"/>
    <cellStyle name="Обычный 351" xfId="2384"/>
    <cellStyle name="Обычный 351 2" xfId="2385"/>
    <cellStyle name="Обычный 351 2 2" xfId="2386"/>
    <cellStyle name="Обычный 351 3" xfId="2387"/>
    <cellStyle name="Обычный 351 4" xfId="2388"/>
    <cellStyle name="Обычный 352" xfId="2389"/>
    <cellStyle name="Обычный 352 2" xfId="2390"/>
    <cellStyle name="Обычный 352 2 2" xfId="2391"/>
    <cellStyle name="Обычный 352 3" xfId="2392"/>
    <cellStyle name="Обычный 352 4" xfId="2393"/>
    <cellStyle name="Обычный 353" xfId="2394"/>
    <cellStyle name="Обычный 353 2" xfId="2395"/>
    <cellStyle name="Обычный 353 2 2" xfId="2396"/>
    <cellStyle name="Обычный 353 3" xfId="2397"/>
    <cellStyle name="Обычный 353 4" xfId="2398"/>
    <cellStyle name="Обычный 354" xfId="2399"/>
    <cellStyle name="Обычный 354 2" xfId="2400"/>
    <cellStyle name="Обычный 354 2 2" xfId="2401"/>
    <cellStyle name="Обычный 354 3" xfId="2402"/>
    <cellStyle name="Обычный 354 4" xfId="2403"/>
    <cellStyle name="Обычный 355" xfId="2404"/>
    <cellStyle name="Обычный 356" xfId="2405"/>
    <cellStyle name="Обычный 356 2" xfId="2406"/>
    <cellStyle name="Обычный 357" xfId="2407"/>
    <cellStyle name="Обычный 357 2" xfId="2408"/>
    <cellStyle name="Обычный 358" xfId="2409"/>
    <cellStyle name="Обычный 358 2" xfId="2410"/>
    <cellStyle name="Обычный 359" xfId="2411"/>
    <cellStyle name="Обычный 359 3" xfId="2412"/>
    <cellStyle name="Обычный 36" xfId="2413"/>
    <cellStyle name="Обычный 36 2" xfId="2414"/>
    <cellStyle name="Обычный 36 2 2" xfId="2415"/>
    <cellStyle name="Обычный 36 3" xfId="2416"/>
    <cellStyle name="Обычный 36 4" xfId="2417"/>
    <cellStyle name="Обычный 360" xfId="2418"/>
    <cellStyle name="Обычный 361" xfId="2419"/>
    <cellStyle name="Обычный 361 2" xfId="2420"/>
    <cellStyle name="Обычный 362" xfId="2421"/>
    <cellStyle name="Обычный 363" xfId="2422"/>
    <cellStyle name="Обычный 364" xfId="2423"/>
    <cellStyle name="Обычный 37" xfId="2424"/>
    <cellStyle name="Обычный 37 2" xfId="2425"/>
    <cellStyle name="Обычный 37 2 2" xfId="2426"/>
    <cellStyle name="Обычный 37 3" xfId="2427"/>
    <cellStyle name="Обычный 37 4" xfId="2428"/>
    <cellStyle name="Обычный 38" xfId="2429"/>
    <cellStyle name="Обычный 38 2" xfId="2430"/>
    <cellStyle name="Обычный 38 2 2" xfId="2431"/>
    <cellStyle name="Обычный 38 3" xfId="2432"/>
    <cellStyle name="Обычный 38 4" xfId="2433"/>
    <cellStyle name="Обычный 39" xfId="2434"/>
    <cellStyle name="Обычный 39 2" xfId="2435"/>
    <cellStyle name="Обычный 39 2 2" xfId="2436"/>
    <cellStyle name="Обычный 39 3" xfId="2437"/>
    <cellStyle name="Обычный 39 4" xfId="2438"/>
    <cellStyle name="Обычный 4" xfId="2439"/>
    <cellStyle name="Обычный 4 2" xfId="2440"/>
    <cellStyle name="Обычный 4 2 2" xfId="2441"/>
    <cellStyle name="Обычный 4 2 3" xfId="2442"/>
    <cellStyle name="Обычный 4 2 4" xfId="2443"/>
    <cellStyle name="Обычный 4 3" xfId="2444"/>
    <cellStyle name="Обычный 4 3 2" xfId="2445"/>
    <cellStyle name="Обычный 4 3 3" xfId="2446"/>
    <cellStyle name="Обычный 4 3 4" xfId="2447"/>
    <cellStyle name="Обычный 4 3 5" xfId="2448"/>
    <cellStyle name="Обычный 4 4" xfId="2449"/>
    <cellStyle name="Обычный 4 5" xfId="2450"/>
    <cellStyle name="Обычный 4 6" xfId="2451"/>
    <cellStyle name="Обычный 4 7" xfId="2452"/>
    <cellStyle name="Обычный 40" xfId="2453"/>
    <cellStyle name="Обычный 40 2" xfId="2454"/>
    <cellStyle name="Обычный 40 2 2" xfId="2455"/>
    <cellStyle name="Обычный 40 3" xfId="2456"/>
    <cellStyle name="Обычный 40 4" xfId="2457"/>
    <cellStyle name="Обычный 41" xfId="2458"/>
    <cellStyle name="Обычный 41 2" xfId="2459"/>
    <cellStyle name="Обычный 41 2 2" xfId="2460"/>
    <cellStyle name="Обычный 41 3" xfId="2461"/>
    <cellStyle name="Обычный 41 4" xfId="2462"/>
    <cellStyle name="Обычный 42" xfId="2463"/>
    <cellStyle name="Обычный 42 2" xfId="2464"/>
    <cellStyle name="Обычный 42 2 2" xfId="2465"/>
    <cellStyle name="Обычный 42 3" xfId="2466"/>
    <cellStyle name="Обычный 42 4" xfId="2467"/>
    <cellStyle name="Обычный 43" xfId="2468"/>
    <cellStyle name="Обычный 43 2" xfId="2469"/>
    <cellStyle name="Обычный 43 2 2" xfId="2470"/>
    <cellStyle name="Обычный 43 3" xfId="2471"/>
    <cellStyle name="Обычный 43 4" xfId="2472"/>
    <cellStyle name="Обычный 44" xfId="2473"/>
    <cellStyle name="Обычный 44 2" xfId="2474"/>
    <cellStyle name="Обычный 44 2 2" xfId="2475"/>
    <cellStyle name="Обычный 44 3" xfId="2476"/>
    <cellStyle name="Обычный 44 4" xfId="2477"/>
    <cellStyle name="Обычный 45" xfId="2478"/>
    <cellStyle name="Обычный 45 2" xfId="2479"/>
    <cellStyle name="Обычный 45 2 2" xfId="2480"/>
    <cellStyle name="Обычный 45 3" xfId="2481"/>
    <cellStyle name="Обычный 45 4" xfId="2482"/>
    <cellStyle name="Обычный 46" xfId="2483"/>
    <cellStyle name="Обычный 46 2" xfId="2484"/>
    <cellStyle name="Обычный 46 2 2" xfId="2485"/>
    <cellStyle name="Обычный 46 3" xfId="2486"/>
    <cellStyle name="Обычный 46 4" xfId="2487"/>
    <cellStyle name="Обычный 47" xfId="2488"/>
    <cellStyle name="Обычный 47 2" xfId="2489"/>
    <cellStyle name="Обычный 47 2 2" xfId="2490"/>
    <cellStyle name="Обычный 47 3" xfId="2491"/>
    <cellStyle name="Обычный 47 4" xfId="2492"/>
    <cellStyle name="Обычный 48" xfId="2493"/>
    <cellStyle name="Обычный 48 2" xfId="2494"/>
    <cellStyle name="Обычный 48 2 2" xfId="2495"/>
    <cellStyle name="Обычный 48 3" xfId="2496"/>
    <cellStyle name="Обычный 48 4" xfId="2497"/>
    <cellStyle name="Обычный 49" xfId="2498"/>
    <cellStyle name="Обычный 49 2" xfId="2499"/>
    <cellStyle name="Обычный 49 2 2" xfId="2500"/>
    <cellStyle name="Обычный 49 3" xfId="2501"/>
    <cellStyle name="Обычный 49 4" xfId="2502"/>
    <cellStyle name="Обычный 5" xfId="2503"/>
    <cellStyle name="Обычный 5 2" xfId="2504"/>
    <cellStyle name="Обычный 5 2 2" xfId="2505"/>
    <cellStyle name="Обычный 5 3" xfId="2506"/>
    <cellStyle name="Обычный 5 3 2" xfId="2507"/>
    <cellStyle name="Обычный 5 4" xfId="2508"/>
    <cellStyle name="Обычный 5 5" xfId="2509"/>
    <cellStyle name="Обычный 5 6" xfId="2510"/>
    <cellStyle name="Обычный 5 7" xfId="2511"/>
    <cellStyle name="Обычный 5 8" xfId="2512"/>
    <cellStyle name="Обычный 50" xfId="2513"/>
    <cellStyle name="Обычный 50 2" xfId="2514"/>
    <cellStyle name="Обычный 50 2 2" xfId="2515"/>
    <cellStyle name="Обычный 50 3" xfId="2516"/>
    <cellStyle name="Обычный 50 4" xfId="2517"/>
    <cellStyle name="Обычный 51" xfId="2518"/>
    <cellStyle name="Обычный 51 2" xfId="2519"/>
    <cellStyle name="Обычный 51 2 2" xfId="2520"/>
    <cellStyle name="Обычный 51 3" xfId="2521"/>
    <cellStyle name="Обычный 51 4" xfId="2522"/>
    <cellStyle name="Обычный 52" xfId="2523"/>
    <cellStyle name="Обычный 52 2" xfId="2524"/>
    <cellStyle name="Обычный 52 2 2" xfId="2525"/>
    <cellStyle name="Обычный 52 3" xfId="2526"/>
    <cellStyle name="Обычный 52 4" xfId="2527"/>
    <cellStyle name="Обычный 53" xfId="2528"/>
    <cellStyle name="Обычный 53 2" xfId="2529"/>
    <cellStyle name="Обычный 53 2 2" xfId="2530"/>
    <cellStyle name="Обычный 53 3" xfId="2531"/>
    <cellStyle name="Обычный 53 4" xfId="2532"/>
    <cellStyle name="Обычный 54" xfId="2533"/>
    <cellStyle name="Обычный 54 2" xfId="2534"/>
    <cellStyle name="Обычный 54 2 2" xfId="2535"/>
    <cellStyle name="Обычный 54 3" xfId="2536"/>
    <cellStyle name="Обычный 54 4" xfId="2537"/>
    <cellStyle name="Обычный 55" xfId="2538"/>
    <cellStyle name="Обычный 55 2" xfId="2539"/>
    <cellStyle name="Обычный 55 2 2" xfId="2540"/>
    <cellStyle name="Обычный 55 3" xfId="2541"/>
    <cellStyle name="Обычный 55 4" xfId="2542"/>
    <cellStyle name="Обычный 56" xfId="2543"/>
    <cellStyle name="Обычный 56 2" xfId="2544"/>
    <cellStyle name="Обычный 56 2 2" xfId="2545"/>
    <cellStyle name="Обычный 56 3" xfId="2546"/>
    <cellStyle name="Обычный 56 4" xfId="2547"/>
    <cellStyle name="Обычный 57" xfId="2548"/>
    <cellStyle name="Обычный 57 2" xfId="2549"/>
    <cellStyle name="Обычный 57 2 2" xfId="2550"/>
    <cellStyle name="Обычный 57 3" xfId="2551"/>
    <cellStyle name="Обычный 57 4" xfId="2552"/>
    <cellStyle name="Обычный 58" xfId="2553"/>
    <cellStyle name="Обычный 58 2" xfId="2554"/>
    <cellStyle name="Обычный 58 2 2" xfId="2555"/>
    <cellStyle name="Обычный 58 3" xfId="2556"/>
    <cellStyle name="Обычный 58 4" xfId="2557"/>
    <cellStyle name="Обычный 59" xfId="2558"/>
    <cellStyle name="Обычный 59 2" xfId="2559"/>
    <cellStyle name="Обычный 59 2 2" xfId="2560"/>
    <cellStyle name="Обычный 59 3" xfId="2561"/>
    <cellStyle name="Обычный 59 4" xfId="2562"/>
    <cellStyle name="Обычный 6" xfId="2563"/>
    <cellStyle name="Обычный 6 2" xfId="2564"/>
    <cellStyle name="Обычный 6 2 2" xfId="2565"/>
    <cellStyle name="Обычный 6 2 3" xfId="2566"/>
    <cellStyle name="Обычный 6 3" xfId="2567"/>
    <cellStyle name="Обычный 6 3 2" xfId="2568"/>
    <cellStyle name="Обычный 6 3 3" xfId="2569"/>
    <cellStyle name="Обычный 6 4" xfId="2570"/>
    <cellStyle name="Обычный 6 4 2" xfId="2571"/>
    <cellStyle name="Обычный 6 5" xfId="2572"/>
    <cellStyle name="Обычный 6 6" xfId="2573"/>
    <cellStyle name="Обычный 6 7" xfId="2574"/>
    <cellStyle name="Обычный 6 8" xfId="2575"/>
    <cellStyle name="Обычный 60" xfId="2576"/>
    <cellStyle name="Обычный 60 2" xfId="2577"/>
    <cellStyle name="Обычный 60 2 2" xfId="2578"/>
    <cellStyle name="Обычный 60 3" xfId="2579"/>
    <cellStyle name="Обычный 60 4" xfId="2580"/>
    <cellStyle name="Обычный 61" xfId="2581"/>
    <cellStyle name="Обычный 61 2" xfId="2582"/>
    <cellStyle name="Обычный 61 2 2" xfId="2583"/>
    <cellStyle name="Обычный 61 3" xfId="2584"/>
    <cellStyle name="Обычный 61 4" xfId="2585"/>
    <cellStyle name="Обычный 62" xfId="2586"/>
    <cellStyle name="Обычный 62 2" xfId="2587"/>
    <cellStyle name="Обычный 62 2 2" xfId="2588"/>
    <cellStyle name="Обычный 62 3" xfId="2589"/>
    <cellStyle name="Обычный 62 4" xfId="2590"/>
    <cellStyle name="Обычный 63" xfId="2591"/>
    <cellStyle name="Обычный 63 2" xfId="2592"/>
    <cellStyle name="Обычный 63 2 2" xfId="2593"/>
    <cellStyle name="Обычный 63 3" xfId="2594"/>
    <cellStyle name="Обычный 63 4" xfId="2595"/>
    <cellStyle name="Обычный 64" xfId="2596"/>
    <cellStyle name="Обычный 64 2" xfId="2597"/>
    <cellStyle name="Обычный 64 2 2" xfId="2598"/>
    <cellStyle name="Обычный 64 3" xfId="2599"/>
    <cellStyle name="Обычный 64 4" xfId="2600"/>
    <cellStyle name="Обычный 65" xfId="2601"/>
    <cellStyle name="Обычный 65 2" xfId="2602"/>
    <cellStyle name="Обычный 65 2 2" xfId="2603"/>
    <cellStyle name="Обычный 65 3" xfId="2604"/>
    <cellStyle name="Обычный 65 4" xfId="2605"/>
    <cellStyle name="Обычный 66" xfId="2606"/>
    <cellStyle name="Обычный 66 2" xfId="2607"/>
    <cellStyle name="Обычный 66 2 2" xfId="2608"/>
    <cellStyle name="Обычный 66 3" xfId="2609"/>
    <cellStyle name="Обычный 66 4" xfId="2610"/>
    <cellStyle name="Обычный 67" xfId="2611"/>
    <cellStyle name="Обычный 67 2" xfId="2612"/>
    <cellStyle name="Обычный 67 2 2" xfId="2613"/>
    <cellStyle name="Обычный 67 3" xfId="2614"/>
    <cellStyle name="Обычный 67 4" xfId="2615"/>
    <cellStyle name="Обычный 68" xfId="2616"/>
    <cellStyle name="Обычный 68 2" xfId="2617"/>
    <cellStyle name="Обычный 68 2 2" xfId="2618"/>
    <cellStyle name="Обычный 68 3" xfId="2619"/>
    <cellStyle name="Обычный 68 4" xfId="2620"/>
    <cellStyle name="Обычный 69" xfId="2621"/>
    <cellStyle name="Обычный 69 2" xfId="2622"/>
    <cellStyle name="Обычный 69 2 2" xfId="2623"/>
    <cellStyle name="Обычный 69 3" xfId="2624"/>
    <cellStyle name="Обычный 69 4" xfId="2625"/>
    <cellStyle name="Обычный 7" xfId="2626"/>
    <cellStyle name="Обычный 7 2" xfId="2627"/>
    <cellStyle name="Обычный 7 2 2" xfId="2628"/>
    <cellStyle name="Обычный 7 3" xfId="2629"/>
    <cellStyle name="Обычный 7 3 2" xfId="2630"/>
    <cellStyle name="Обычный 7 3 3" xfId="2631"/>
    <cellStyle name="Обычный 7 4" xfId="2632"/>
    <cellStyle name="Обычный 7 5" xfId="2633"/>
    <cellStyle name="Обычный 7 6" xfId="2634"/>
    <cellStyle name="Обычный 70" xfId="2635"/>
    <cellStyle name="Обычный 70 2" xfId="2636"/>
    <cellStyle name="Обычный 70 2 2" xfId="2637"/>
    <cellStyle name="Обычный 70 3" xfId="2638"/>
    <cellStyle name="Обычный 70 4" xfId="2639"/>
    <cellStyle name="Обычный 71" xfId="2640"/>
    <cellStyle name="Обычный 71 2" xfId="2641"/>
    <cellStyle name="Обычный 71 2 2" xfId="2642"/>
    <cellStyle name="Обычный 71 3" xfId="2643"/>
    <cellStyle name="Обычный 71 4" xfId="2644"/>
    <cellStyle name="Обычный 72" xfId="2645"/>
    <cellStyle name="Обычный 72 2" xfId="2646"/>
    <cellStyle name="Обычный 72 2 2" xfId="2647"/>
    <cellStyle name="Обычный 72 3" xfId="2648"/>
    <cellStyle name="Обычный 72 4" xfId="2649"/>
    <cellStyle name="Обычный 73" xfId="2650"/>
    <cellStyle name="Обычный 73 2" xfId="2651"/>
    <cellStyle name="Обычный 73 2 2" xfId="2652"/>
    <cellStyle name="Обычный 73 3" xfId="2653"/>
    <cellStyle name="Обычный 73 4" xfId="2654"/>
    <cellStyle name="Обычный 74" xfId="2655"/>
    <cellStyle name="Обычный 74 2" xfId="2656"/>
    <cellStyle name="Обычный 74 2 2" xfId="2657"/>
    <cellStyle name="Обычный 74 3" xfId="2658"/>
    <cellStyle name="Обычный 74 4" xfId="2659"/>
    <cellStyle name="Обычный 75" xfId="2660"/>
    <cellStyle name="Обычный 75 2" xfId="2661"/>
    <cellStyle name="Обычный 75 2 2" xfId="2662"/>
    <cellStyle name="Обычный 75 3" xfId="2663"/>
    <cellStyle name="Обычный 75 4" xfId="2664"/>
    <cellStyle name="Обычный 76" xfId="2665"/>
    <cellStyle name="Обычный 76 2" xfId="2666"/>
    <cellStyle name="Обычный 76 2 2" xfId="2667"/>
    <cellStyle name="Обычный 76 3" xfId="2668"/>
    <cellStyle name="Обычный 76 4" xfId="2669"/>
    <cellStyle name="Обычный 77" xfId="2670"/>
    <cellStyle name="Обычный 77 2" xfId="2671"/>
    <cellStyle name="Обычный 77 2 2" xfId="2672"/>
    <cellStyle name="Обычный 77 3" xfId="2673"/>
    <cellStyle name="Обычный 77 4" xfId="2674"/>
    <cellStyle name="Обычный 78" xfId="2675"/>
    <cellStyle name="Обычный 78 2" xfId="2676"/>
    <cellStyle name="Обычный 78 2 2" xfId="2677"/>
    <cellStyle name="Обычный 78 3" xfId="2678"/>
    <cellStyle name="Обычный 78 4" xfId="2679"/>
    <cellStyle name="Обычный 79" xfId="2680"/>
    <cellStyle name="Обычный 79 2" xfId="2681"/>
    <cellStyle name="Обычный 79 2 2" xfId="2682"/>
    <cellStyle name="Обычный 79 3" xfId="2683"/>
    <cellStyle name="Обычный 79 4" xfId="2684"/>
    <cellStyle name="Обычный 8" xfId="2685"/>
    <cellStyle name="Обычный 8 2" xfId="2686"/>
    <cellStyle name="Обычный 8 2 2" xfId="2687"/>
    <cellStyle name="Обычный 8 2 3" xfId="2688"/>
    <cellStyle name="Обычный 8 3" xfId="2689"/>
    <cellStyle name="Обычный 8 3 2" xfId="2690"/>
    <cellStyle name="Обычный 8 3 3" xfId="2691"/>
    <cellStyle name="Обычный 8 3 4" xfId="2692"/>
    <cellStyle name="Обычный 8 4" xfId="2693"/>
    <cellStyle name="Обычный 8 5" xfId="2694"/>
    <cellStyle name="Обычный 8 6" xfId="2695"/>
    <cellStyle name="Обычный 8 7" xfId="2696"/>
    <cellStyle name="Обычный 80" xfId="2697"/>
    <cellStyle name="Обычный 80 2" xfId="2698"/>
    <cellStyle name="Обычный 80 2 2" xfId="2699"/>
    <cellStyle name="Обычный 80 3" xfId="2700"/>
    <cellStyle name="Обычный 80 4" xfId="2701"/>
    <cellStyle name="Обычный 81" xfId="2702"/>
    <cellStyle name="Обычный 81 2" xfId="2703"/>
    <cellStyle name="Обычный 81 2 2" xfId="2704"/>
    <cellStyle name="Обычный 81 3" xfId="2705"/>
    <cellStyle name="Обычный 81 4" xfId="2706"/>
    <cellStyle name="Обычный 82" xfId="2707"/>
    <cellStyle name="Обычный 82 2" xfId="2708"/>
    <cellStyle name="Обычный 82 2 2" xfId="2709"/>
    <cellStyle name="Обычный 82 3" xfId="2710"/>
    <cellStyle name="Обычный 82 4" xfId="2711"/>
    <cellStyle name="Обычный 83" xfId="2712"/>
    <cellStyle name="Обычный 83 2" xfId="2713"/>
    <cellStyle name="Обычный 83 2 2" xfId="2714"/>
    <cellStyle name="Обычный 83 3" xfId="2715"/>
    <cellStyle name="Обычный 83 4" xfId="2716"/>
    <cellStyle name="Обычный 84" xfId="2717"/>
    <cellStyle name="Обычный 84 2" xfId="2718"/>
    <cellStyle name="Обычный 84 2 2" xfId="2719"/>
    <cellStyle name="Обычный 84 3" xfId="2720"/>
    <cellStyle name="Обычный 84 4" xfId="2721"/>
    <cellStyle name="Обычный 85" xfId="2722"/>
    <cellStyle name="Обычный 85 2" xfId="2723"/>
    <cellStyle name="Обычный 85 2 2" xfId="2724"/>
    <cellStyle name="Обычный 85 3" xfId="2725"/>
    <cellStyle name="Обычный 85 4" xfId="2726"/>
    <cellStyle name="Обычный 86" xfId="2727"/>
    <cellStyle name="Обычный 86 2" xfId="2728"/>
    <cellStyle name="Обычный 86 2 2" xfId="2729"/>
    <cellStyle name="Обычный 86 3" xfId="2730"/>
    <cellStyle name="Обычный 86 4" xfId="2731"/>
    <cellStyle name="Обычный 87" xfId="2732"/>
    <cellStyle name="Обычный 87 2" xfId="2733"/>
    <cellStyle name="Обычный 87 2 2" xfId="2734"/>
    <cellStyle name="Обычный 87 3" xfId="2735"/>
    <cellStyle name="Обычный 87 4" xfId="2736"/>
    <cellStyle name="Обычный 88" xfId="2737"/>
    <cellStyle name="Обычный 88 2" xfId="2738"/>
    <cellStyle name="Обычный 88 2 2" xfId="2739"/>
    <cellStyle name="Обычный 88 3" xfId="2740"/>
    <cellStyle name="Обычный 88 4" xfId="2741"/>
    <cellStyle name="Обычный 89" xfId="2742"/>
    <cellStyle name="Обычный 89 2" xfId="2743"/>
    <cellStyle name="Обычный 89 2 2" xfId="2744"/>
    <cellStyle name="Обычный 89 3" xfId="2745"/>
    <cellStyle name="Обычный 89 4" xfId="2746"/>
    <cellStyle name="Обычный 9" xfId="2747"/>
    <cellStyle name="Обычный 9 2" xfId="2748"/>
    <cellStyle name="Обычный 9 2 2" xfId="2749"/>
    <cellStyle name="Обычный 9 3" xfId="2750"/>
    <cellStyle name="Обычный 9 3 2" xfId="2751"/>
    <cellStyle name="Обычный 9 4" xfId="2752"/>
    <cellStyle name="Обычный 9 5" xfId="2753"/>
    <cellStyle name="Обычный 9 6" xfId="2754"/>
    <cellStyle name="Обычный 90" xfId="2755"/>
    <cellStyle name="Обычный 90 2" xfId="2756"/>
    <cellStyle name="Обычный 90 2 2" xfId="2757"/>
    <cellStyle name="Обычный 90 3" xfId="2758"/>
    <cellStyle name="Обычный 90 4" xfId="2759"/>
    <cellStyle name="Обычный 91" xfId="2760"/>
    <cellStyle name="Обычный 91 2" xfId="2761"/>
    <cellStyle name="Обычный 91 2 2" xfId="2762"/>
    <cellStyle name="Обычный 91 3" xfId="2763"/>
    <cellStyle name="Обычный 91 4" xfId="2764"/>
    <cellStyle name="Обычный 92" xfId="2765"/>
    <cellStyle name="Обычный 92 2" xfId="2766"/>
    <cellStyle name="Обычный 92 2 2" xfId="2767"/>
    <cellStyle name="Обычный 92 3" xfId="2768"/>
    <cellStyle name="Обычный 92 4" xfId="2769"/>
    <cellStyle name="Обычный 93" xfId="2770"/>
    <cellStyle name="Обычный 93 2" xfId="2771"/>
    <cellStyle name="Обычный 93 2 2" xfId="2772"/>
    <cellStyle name="Обычный 93 3" xfId="2773"/>
    <cellStyle name="Обычный 93 4" xfId="2774"/>
    <cellStyle name="Обычный 94" xfId="2775"/>
    <cellStyle name="Обычный 94 2" xfId="2776"/>
    <cellStyle name="Обычный 94 2 2" xfId="2777"/>
    <cellStyle name="Обычный 94 3" xfId="2778"/>
    <cellStyle name="Обычный 94 4" xfId="2779"/>
    <cellStyle name="Обычный 95" xfId="2780"/>
    <cellStyle name="Обычный 95 2" xfId="2781"/>
    <cellStyle name="Обычный 95 2 2" xfId="2782"/>
    <cellStyle name="Обычный 95 3" xfId="2783"/>
    <cellStyle name="Обычный 95 4" xfId="2784"/>
    <cellStyle name="Обычный 96" xfId="2785"/>
    <cellStyle name="Обычный 96 2" xfId="2786"/>
    <cellStyle name="Обычный 96 2 2" xfId="2787"/>
    <cellStyle name="Обычный 96 3" xfId="2788"/>
    <cellStyle name="Обычный 96 4" xfId="2789"/>
    <cellStyle name="Обычный 97" xfId="2790"/>
    <cellStyle name="Обычный 97 2" xfId="2791"/>
    <cellStyle name="Обычный 97 2 2" xfId="2792"/>
    <cellStyle name="Обычный 97 3" xfId="2793"/>
    <cellStyle name="Обычный 97 4" xfId="2794"/>
    <cellStyle name="Обычный 98" xfId="2795"/>
    <cellStyle name="Обычный 98 2" xfId="2796"/>
    <cellStyle name="Обычный 98 2 2" xfId="2797"/>
    <cellStyle name="Обычный 98 3" xfId="2798"/>
    <cellStyle name="Обычный 98 4" xfId="2799"/>
    <cellStyle name="Обычный 99" xfId="2800"/>
    <cellStyle name="Обычный 99 2" xfId="2801"/>
    <cellStyle name="Обычный 99 2 2" xfId="2802"/>
    <cellStyle name="Обычный 99 3" xfId="2803"/>
    <cellStyle name="Обычный 99 4" xfId="2804"/>
    <cellStyle name="Followed Hyperlink" xfId="2805"/>
    <cellStyle name="Плохой" xfId="2806"/>
    <cellStyle name="Плохой 2" xfId="2807"/>
    <cellStyle name="Плохой 3" xfId="2808"/>
    <cellStyle name="Плохой 4" xfId="2809"/>
    <cellStyle name="Пояснение" xfId="2810"/>
    <cellStyle name="Пояснение 2" xfId="2811"/>
    <cellStyle name="Пояснение 3" xfId="2812"/>
    <cellStyle name="Пояснение 4" xfId="2813"/>
    <cellStyle name="Примечание" xfId="2814"/>
    <cellStyle name="Примечание 10" xfId="2815"/>
    <cellStyle name="Примечание 11" xfId="2816"/>
    <cellStyle name="Примечание 12" xfId="2817"/>
    <cellStyle name="Примечание 13" xfId="2818"/>
    <cellStyle name="Примечание 14" xfId="2819"/>
    <cellStyle name="Примечание 15" xfId="2820"/>
    <cellStyle name="Примечание 16" xfId="2821"/>
    <cellStyle name="Примечание 17" xfId="2822"/>
    <cellStyle name="Примечание 18" xfId="2823"/>
    <cellStyle name="Примечание 19" xfId="2824"/>
    <cellStyle name="Примечание 2" xfId="2825"/>
    <cellStyle name="Примечание 2 2" xfId="2826"/>
    <cellStyle name="Примечание 2 2 2" xfId="2827"/>
    <cellStyle name="Примечание 2 3" xfId="2828"/>
    <cellStyle name="Примечание 2 3 2" xfId="2829"/>
    <cellStyle name="Примечание 2 3 3" xfId="2830"/>
    <cellStyle name="Примечание 2 4" xfId="2831"/>
    <cellStyle name="Примечание 2 4 2" xfId="2832"/>
    <cellStyle name="Примечание 2 5" xfId="2833"/>
    <cellStyle name="Примечание 2 6" xfId="2834"/>
    <cellStyle name="Примечание 2_Справочный реестр" xfId="2835"/>
    <cellStyle name="Примечание 20" xfId="2836"/>
    <cellStyle name="Примечание 21" xfId="2837"/>
    <cellStyle name="Примечание 22" xfId="2838"/>
    <cellStyle name="Примечание 3" xfId="2839"/>
    <cellStyle name="Примечание 3 2" xfId="2840"/>
    <cellStyle name="Примечание 3 3" xfId="2841"/>
    <cellStyle name="Примечание 3 4" xfId="2842"/>
    <cellStyle name="Примечание 3 5" xfId="2843"/>
    <cellStyle name="Примечание 3_Справочный реестр" xfId="2844"/>
    <cellStyle name="Примечание 4" xfId="2845"/>
    <cellStyle name="Примечание 4 2" xfId="2846"/>
    <cellStyle name="Примечание 4 2 2" xfId="2847"/>
    <cellStyle name="Примечание 4 3" xfId="2848"/>
    <cellStyle name="Примечание 4 3 2" xfId="2849"/>
    <cellStyle name="Примечание 4 4" xfId="2850"/>
    <cellStyle name="Примечание 4_Справочный реестр" xfId="2851"/>
    <cellStyle name="Примечание 5" xfId="2852"/>
    <cellStyle name="Примечание 5 2" xfId="2853"/>
    <cellStyle name="Примечание 5 2 2" xfId="2854"/>
    <cellStyle name="Примечание 5 3" xfId="2855"/>
    <cellStyle name="Примечание 5 4" xfId="2856"/>
    <cellStyle name="Примечание 5_Справочный реестр" xfId="2857"/>
    <cellStyle name="Примечание 6" xfId="2858"/>
    <cellStyle name="Примечание 6 2" xfId="2859"/>
    <cellStyle name="Примечание 6 3" xfId="2860"/>
    <cellStyle name="Примечание 6 4" xfId="2861"/>
    <cellStyle name="Примечание 7" xfId="2862"/>
    <cellStyle name="Примечание 7 2" xfId="2863"/>
    <cellStyle name="Примечание 7 3" xfId="2864"/>
    <cellStyle name="Примечание 8" xfId="2865"/>
    <cellStyle name="Примечание 8 2" xfId="2866"/>
    <cellStyle name="Примечание 8 3" xfId="2867"/>
    <cellStyle name="Примечание 9" xfId="2868"/>
    <cellStyle name="Примечание 9 2" xfId="2869"/>
    <cellStyle name="Percent" xfId="2870"/>
    <cellStyle name="Процентный 2" xfId="2871"/>
    <cellStyle name="Процентный 2 2" xfId="2872"/>
    <cellStyle name="Процентный 2 2 2" xfId="2873"/>
    <cellStyle name="Процентный 2 3" xfId="2874"/>
    <cellStyle name="Процентный 2 3 2" xfId="2875"/>
    <cellStyle name="Процентный 2 4" xfId="2876"/>
    <cellStyle name="Процентный 2 4 2" xfId="2877"/>
    <cellStyle name="Процентный 2 5" xfId="2878"/>
    <cellStyle name="Процентный 2 6" xfId="2879"/>
    <cellStyle name="Процентный 3" xfId="2880"/>
    <cellStyle name="Процентный 3 2" xfId="2881"/>
    <cellStyle name="Процентный 3 3" xfId="2882"/>
    <cellStyle name="Процентный 3 6" xfId="2883"/>
    <cellStyle name="Процентный 4" xfId="2884"/>
    <cellStyle name="Процентный 4 2" xfId="2885"/>
    <cellStyle name="Процентный 4 3" xfId="2886"/>
    <cellStyle name="Процентный 4 4" xfId="2887"/>
    <cellStyle name="Процентный 5" xfId="2888"/>
    <cellStyle name="Процентный 6" xfId="2889"/>
    <cellStyle name="Проценты" xfId="2890"/>
    <cellStyle name="Связанная ячейка" xfId="2891"/>
    <cellStyle name="Связанная ячейка 2" xfId="2892"/>
    <cellStyle name="Связанная ячейка 3" xfId="2893"/>
    <cellStyle name="Связанная ячейка 4" xfId="2894"/>
    <cellStyle name="Текст предупреждения" xfId="2895"/>
    <cellStyle name="Текст предупреждения 2" xfId="2896"/>
    <cellStyle name="Текст предупреждения 3" xfId="2897"/>
    <cellStyle name="Текст предупреждения 4" xfId="2898"/>
    <cellStyle name="Тысяч человек" xfId="2899"/>
    <cellStyle name="Тысячи [0]_перечис.11" xfId="2900"/>
    <cellStyle name="Тысячи_перечис.11" xfId="2901"/>
    <cellStyle name="Comma" xfId="2902"/>
    <cellStyle name="Comma [0]" xfId="2903"/>
    <cellStyle name="Финансовый 10" xfId="2904"/>
    <cellStyle name="Финансовый 11" xfId="2905"/>
    <cellStyle name="Финансовый 12" xfId="2906"/>
    <cellStyle name="Финансовый 13" xfId="2907"/>
    <cellStyle name="Финансовый 14" xfId="2908"/>
    <cellStyle name="Финансовый 15" xfId="2909"/>
    <cellStyle name="Финансовый 16" xfId="2910"/>
    <cellStyle name="Финансовый 17" xfId="2911"/>
    <cellStyle name="Финансовый 18" xfId="2912"/>
    <cellStyle name="Финансовый 19" xfId="2913"/>
    <cellStyle name="Финансовый 2" xfId="2914"/>
    <cellStyle name="Финансовый 2 10" xfId="2915"/>
    <cellStyle name="Финансовый 2 11" xfId="2916"/>
    <cellStyle name="Финансовый 2 2" xfId="2917"/>
    <cellStyle name="Финансовый 2 2 2" xfId="2918"/>
    <cellStyle name="Финансовый 2 2 2 2" xfId="2919"/>
    <cellStyle name="Финансовый 2 2 2 2 2" xfId="2920"/>
    <cellStyle name="Финансовый 2 2 2 2 2 2" xfId="2921"/>
    <cellStyle name="Финансовый 2 2 2 2 2 2 2" xfId="2922"/>
    <cellStyle name="Финансовый 2 2 2 2 2 3" xfId="2923"/>
    <cellStyle name="Финансовый 2 2 2 2 3" xfId="2924"/>
    <cellStyle name="Финансовый 2 2 2 2 3 2" xfId="2925"/>
    <cellStyle name="Финансовый 2 2 2 2 4" xfId="2926"/>
    <cellStyle name="Финансовый 2 2 2 3" xfId="2927"/>
    <cellStyle name="Финансовый 2 2 2 3 2" xfId="2928"/>
    <cellStyle name="Финансовый 2 2 2 3 2 2" xfId="2929"/>
    <cellStyle name="Финансовый 2 2 2 3 2 2 2" xfId="2930"/>
    <cellStyle name="Финансовый 2 2 2 3 2 3" xfId="2931"/>
    <cellStyle name="Финансовый 2 2 2 3 3" xfId="2932"/>
    <cellStyle name="Финансовый 2 2 2 3 3 2" xfId="2933"/>
    <cellStyle name="Финансовый 2 2 2 3 4" xfId="2934"/>
    <cellStyle name="Финансовый 2 2 2 4" xfId="2935"/>
    <cellStyle name="Финансовый 2 2 2 4 2" xfId="2936"/>
    <cellStyle name="Финансовый 2 2 2 4 2 2" xfId="2937"/>
    <cellStyle name="Финансовый 2 2 2 4 2 2 2" xfId="2938"/>
    <cellStyle name="Финансовый 2 2 2 4 2 3" xfId="2939"/>
    <cellStyle name="Финансовый 2 2 2 4 3" xfId="2940"/>
    <cellStyle name="Финансовый 2 2 2 4 3 2" xfId="2941"/>
    <cellStyle name="Финансовый 2 2 2 4 4" xfId="2942"/>
    <cellStyle name="Финансовый 2 2 2 5" xfId="2943"/>
    <cellStyle name="Финансовый 2 2 2 5 2" xfId="2944"/>
    <cellStyle name="Финансовый 2 2 2 5 2 2" xfId="2945"/>
    <cellStyle name="Финансовый 2 2 2 5 3" xfId="2946"/>
    <cellStyle name="Финансовый 2 2 2 6" xfId="2947"/>
    <cellStyle name="Финансовый 2 2 2 6 2" xfId="2948"/>
    <cellStyle name="Финансовый 2 2 2 6 2 2" xfId="2949"/>
    <cellStyle name="Финансовый 2 2 2 6 3" xfId="2950"/>
    <cellStyle name="Финансовый 2 2 2 7" xfId="2951"/>
    <cellStyle name="Финансовый 2 2 2 7 2" xfId="2952"/>
    <cellStyle name="Финансовый 2 2 2 8" xfId="2953"/>
    <cellStyle name="Финансовый 2 2 2 9" xfId="2954"/>
    <cellStyle name="Финансовый 2 2 3" xfId="2955"/>
    <cellStyle name="Финансовый 2 2 3 2" xfId="2956"/>
    <cellStyle name="Финансовый 2 2 3 2 2" xfId="2957"/>
    <cellStyle name="Финансовый 2 2 3 2 2 2" xfId="2958"/>
    <cellStyle name="Финансовый 2 2 3 2 3" xfId="2959"/>
    <cellStyle name="Финансовый 2 2 3 3" xfId="2960"/>
    <cellStyle name="Финансовый 2 2 3 3 2" xfId="2961"/>
    <cellStyle name="Финансовый 2 2 3 4" xfId="2962"/>
    <cellStyle name="Финансовый 2 2 4" xfId="2963"/>
    <cellStyle name="Финансовый 2 2 4 2" xfId="2964"/>
    <cellStyle name="Финансовый 2 2 4 2 2" xfId="2965"/>
    <cellStyle name="Финансовый 2 2 4 3" xfId="2966"/>
    <cellStyle name="Финансовый 2 2 5" xfId="2967"/>
    <cellStyle name="Финансовый 2 2 5 2" xfId="2968"/>
    <cellStyle name="Финансовый 2 2 6" xfId="2969"/>
    <cellStyle name="Финансовый 2 3" xfId="2970"/>
    <cellStyle name="Финансовый 2 3 2" xfId="2971"/>
    <cellStyle name="Финансовый 2 3 2 2" xfId="2972"/>
    <cellStyle name="Финансовый 2 3 2 2 2" xfId="2973"/>
    <cellStyle name="Финансовый 2 3 2 2 2 2" xfId="2974"/>
    <cellStyle name="Финансовый 2 3 2 2 3" xfId="2975"/>
    <cellStyle name="Финансовый 2 3 2 3" xfId="2976"/>
    <cellStyle name="Финансовый 2 3 2 3 2" xfId="2977"/>
    <cellStyle name="Финансовый 2 3 2 4" xfId="2978"/>
    <cellStyle name="Финансовый 2 3 3" xfId="2979"/>
    <cellStyle name="Финансовый 2 3 3 2" xfId="2980"/>
    <cellStyle name="Финансовый 2 3 3 2 2" xfId="2981"/>
    <cellStyle name="Финансовый 2 3 3 3" xfId="2982"/>
    <cellStyle name="Финансовый 2 3 4" xfId="2983"/>
    <cellStyle name="Финансовый 2 3 4 2" xfId="2984"/>
    <cellStyle name="Финансовый 2 3 5" xfId="2985"/>
    <cellStyle name="Финансовый 2 3 6" xfId="2986"/>
    <cellStyle name="Финансовый 2 4" xfId="2987"/>
    <cellStyle name="Финансовый 2 4 2" xfId="2988"/>
    <cellStyle name="Финансовый 2 4 2 2" xfId="2989"/>
    <cellStyle name="Финансовый 2 4 2 2 2" xfId="2990"/>
    <cellStyle name="Финансовый 2 4 2 3" xfId="2991"/>
    <cellStyle name="Финансовый 2 4 3" xfId="2992"/>
    <cellStyle name="Финансовый 2 4 3 2" xfId="2993"/>
    <cellStyle name="Финансовый 2 4 4" xfId="2994"/>
    <cellStyle name="Финансовый 2 4 5" xfId="2995"/>
    <cellStyle name="Финансовый 2 5" xfId="2996"/>
    <cellStyle name="Финансовый 2 5 2" xfId="2997"/>
    <cellStyle name="Финансовый 2 5 2 2" xfId="2998"/>
    <cellStyle name="Финансовый 2 5 2 2 2" xfId="2999"/>
    <cellStyle name="Финансовый 2 5 2 3" xfId="3000"/>
    <cellStyle name="Финансовый 2 5 3" xfId="3001"/>
    <cellStyle name="Финансовый 2 5 3 2" xfId="3002"/>
    <cellStyle name="Финансовый 2 5 4" xfId="3003"/>
    <cellStyle name="Финансовый 2 5 5" xfId="3004"/>
    <cellStyle name="Финансовый 2 6" xfId="3005"/>
    <cellStyle name="Финансовый 2 6 2" xfId="3006"/>
    <cellStyle name="Финансовый 2 6 2 2" xfId="3007"/>
    <cellStyle name="Финансовый 2 6 2 2 2" xfId="3008"/>
    <cellStyle name="Финансовый 2 6 2 3" xfId="3009"/>
    <cellStyle name="Финансовый 2 6 3" xfId="3010"/>
    <cellStyle name="Финансовый 2 6 3 2" xfId="3011"/>
    <cellStyle name="Финансовый 2 6 4" xfId="3012"/>
    <cellStyle name="Финансовый 2 7" xfId="3013"/>
    <cellStyle name="Финансовый 2 7 2" xfId="3014"/>
    <cellStyle name="Финансовый 2 7 2 2" xfId="3015"/>
    <cellStyle name="Финансовый 2 7 3" xfId="3016"/>
    <cellStyle name="Финансовый 2 8" xfId="3017"/>
    <cellStyle name="Финансовый 2 8 2" xfId="3018"/>
    <cellStyle name="Финансовый 2 8 2 2" xfId="3019"/>
    <cellStyle name="Финансовый 2 8 3" xfId="3020"/>
    <cellStyle name="Финансовый 2 9" xfId="3021"/>
    <cellStyle name="Финансовый 2 9 2" xfId="3022"/>
    <cellStyle name="Финансовый 20" xfId="3023"/>
    <cellStyle name="Финансовый 21" xfId="3024"/>
    <cellStyle name="Финансовый 22" xfId="3025"/>
    <cellStyle name="Финансовый 23" xfId="3026"/>
    <cellStyle name="Финансовый 24" xfId="3027"/>
    <cellStyle name="Финансовый 25" xfId="3028"/>
    <cellStyle name="Финансовый 26" xfId="3029"/>
    <cellStyle name="Финансовый 27" xfId="3030"/>
    <cellStyle name="Финансовый 28" xfId="3031"/>
    <cellStyle name="Финансовый 29" xfId="3032"/>
    <cellStyle name="Финансовый 3" xfId="3033"/>
    <cellStyle name="Финансовый 3 2" xfId="3034"/>
    <cellStyle name="Финансовый 30" xfId="3035"/>
    <cellStyle name="Финансовый 31" xfId="3036"/>
    <cellStyle name="Финансовый 32" xfId="3037"/>
    <cellStyle name="Финансовый 33" xfId="3038"/>
    <cellStyle name="Финансовый 4" xfId="3039"/>
    <cellStyle name="Финансовый 4 2" xfId="3040"/>
    <cellStyle name="Финансовый 4 3" xfId="3041"/>
    <cellStyle name="Финансовый 4 4" xfId="3042"/>
    <cellStyle name="Финансовый 4 5" xfId="3043"/>
    <cellStyle name="Финансовый 5" xfId="3044"/>
    <cellStyle name="Финансовый 5 2" xfId="3045"/>
    <cellStyle name="Финансовый 5 3" xfId="3046"/>
    <cellStyle name="Финансовый 5 4" xfId="3047"/>
    <cellStyle name="Финансовый 5 5" xfId="3048"/>
    <cellStyle name="Финансовый 6" xfId="3049"/>
    <cellStyle name="Финансовый 7" xfId="3050"/>
    <cellStyle name="Финансовый 8" xfId="3051"/>
    <cellStyle name="Финансовый 9" xfId="3052"/>
    <cellStyle name="Хороший" xfId="3053"/>
    <cellStyle name="Хороший 2" xfId="3054"/>
    <cellStyle name="Хороший 3" xfId="3055"/>
    <cellStyle name="Хороший 4" xfId="30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\Share$\&#1086;&#1090;&#1076;&#1077;&#1083;%20&#1058;&#1055;&#1054;&#1052;&#1057;\&#1050;&#1086;&#1084;&#1080;&#1089;&#1089;&#1080;&#1103;%20&#1087;&#1086;%20&#1088;&#1072;&#1079;&#1088;&#1072;&#1073;&#1086;&#1090;&#1082;&#1077;%20&#1058;&#1055;&#1054;&#1052;&#1057;\&#1050;&#1086;&#1084;&#1080;&#1089;&#1089;&#1080;&#1103;%202024%20&#1075;&#1086;&#1076;\1.%20&#1054;&#1073;&#1098;&#1105;&#1084;&#1099;%20&#1084;&#1077;&#1076;%20&#1087;&#1086;&#1084;&#1086;&#1097;&#1080;%202024%20&#1075;&#1086;&#1076;_&#1057;&#1042;&#1054;&#1044;_&#1088;&#1077;&#1076;.%2029.12.2023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АМП"/>
      <sheetName val="1.1. ПРОФ.МЕРОПРИЯТИЯ (КП)"/>
      <sheetName val="1.2. Диспансерное наблюдение"/>
      <sheetName val="1.3. ИССЛЕДОВАНИЯ"/>
      <sheetName val="2. КС"/>
      <sheetName val="3. ДС"/>
      <sheetName val="4. СМП"/>
      <sheetName val="5. УСЛУГИ ДИАЛИЗА"/>
      <sheetName val="6. Объем фин.обеспечения"/>
      <sheetName val="10. объём доп. фед. средств"/>
    </sheetNames>
    <sheetDataSet>
      <sheetData sheetId="0">
        <row r="5">
          <cell r="A5" t="str">
    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2024 ГОДУ                                                                      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743"/>
  <sheetViews>
    <sheetView view="pageBreakPreview" zoomScale="90" zoomScaleSheetLayoutView="90" zoomScalePageLayoutView="0" workbookViewId="0" topLeftCell="A1">
      <pane ySplit="13" topLeftCell="A557" activePane="bottomLeft" state="frozen"/>
      <selection pane="topLeft" activeCell="A1" sqref="A1"/>
      <selection pane="bottomLeft" activeCell="C4" sqref="C4:H4"/>
    </sheetView>
  </sheetViews>
  <sheetFormatPr defaultColWidth="9.140625" defaultRowHeight="12.75"/>
  <cols>
    <col min="1" max="1" width="33.28125" style="173" customWidth="1"/>
    <col min="2" max="2" width="11.28125" style="173" customWidth="1"/>
    <col min="3" max="3" width="12.28125" style="642" customWidth="1"/>
    <col min="4" max="4" width="12.8515625" style="173" customWidth="1"/>
    <col min="5" max="5" width="11.28125" style="643" customWidth="1"/>
    <col min="6" max="6" width="10.28125" style="643" customWidth="1"/>
    <col min="7" max="7" width="14.00390625" style="642" customWidth="1"/>
    <col min="8" max="8" width="13.7109375" style="3" customWidth="1"/>
    <col min="9" max="9" width="13.7109375" style="644" customWidth="1"/>
    <col min="10" max="10" width="13.7109375" style="174" customWidth="1"/>
    <col min="11" max="11" width="12.28125" style="173" bestFit="1" customWidth="1"/>
    <col min="12" max="12" width="18.00390625" style="173" customWidth="1"/>
    <col min="13" max="13" width="15.8515625" style="173" customWidth="1"/>
    <col min="14" max="14" width="15.421875" style="173" customWidth="1"/>
    <col min="15" max="16" width="9.140625" style="173" customWidth="1"/>
    <col min="17" max="17" width="13.28125" style="173" customWidth="1"/>
    <col min="18" max="18" width="18.140625" style="173" customWidth="1"/>
    <col min="19" max="19" width="13.8515625" style="173" customWidth="1"/>
    <col min="20" max="20" width="16.8515625" style="173" customWidth="1"/>
    <col min="21" max="26" width="9.140625" style="173" customWidth="1"/>
    <col min="27" max="27" width="11.421875" style="173" customWidth="1"/>
    <col min="28" max="16384" width="9.140625" style="173" customWidth="1"/>
  </cols>
  <sheetData>
    <row r="1" spans="2:12" ht="21.75" customHeight="1">
      <c r="B1" s="559"/>
      <c r="C1" s="559"/>
      <c r="D1" s="515"/>
      <c r="E1" s="487"/>
      <c r="F1" s="487"/>
      <c r="G1" s="828" t="s">
        <v>99</v>
      </c>
      <c r="H1" s="828"/>
      <c r="I1" s="828"/>
      <c r="J1" s="828"/>
      <c r="L1" s="173">
        <v>1</v>
      </c>
    </row>
    <row r="2" spans="2:10" ht="21.75" customHeight="1">
      <c r="B2" s="559"/>
      <c r="C2" s="559"/>
      <c r="D2" s="515"/>
      <c r="E2" s="487"/>
      <c r="F2" s="487"/>
      <c r="G2" s="828" t="s">
        <v>100</v>
      </c>
      <c r="H2" s="828"/>
      <c r="I2" s="828"/>
      <c r="J2" s="828"/>
    </row>
    <row r="3" spans="2:10" ht="21.75" customHeight="1">
      <c r="B3" s="559"/>
      <c r="C3" s="559"/>
      <c r="D3" s="515"/>
      <c r="E3" s="487"/>
      <c r="F3" s="487"/>
      <c r="G3" s="828" t="s">
        <v>597</v>
      </c>
      <c r="H3" s="828"/>
      <c r="I3" s="828"/>
      <c r="J3" s="828"/>
    </row>
    <row r="4" spans="3:10" ht="21" customHeight="1">
      <c r="C4" s="831"/>
      <c r="D4" s="831"/>
      <c r="E4" s="831"/>
      <c r="F4" s="831"/>
      <c r="G4" s="831"/>
      <c r="H4" s="831"/>
      <c r="I4" s="560"/>
      <c r="J4" s="413"/>
    </row>
    <row r="5" spans="1:10" ht="36" customHeight="1">
      <c r="A5" s="829" t="s">
        <v>480</v>
      </c>
      <c r="B5" s="829"/>
      <c r="C5" s="829"/>
      <c r="D5" s="829"/>
      <c r="E5" s="829"/>
      <c r="F5" s="829"/>
      <c r="G5" s="829"/>
      <c r="H5" s="829"/>
      <c r="I5" s="829"/>
      <c r="J5" s="829"/>
    </row>
    <row r="6" spans="1:10" ht="23.25" customHeight="1">
      <c r="A6" s="239"/>
      <c r="B6" s="239"/>
      <c r="C6" s="239"/>
      <c r="D6" s="239"/>
      <c r="E6" s="488"/>
      <c r="F6" s="488"/>
      <c r="G6" s="239"/>
      <c r="H6" s="278"/>
      <c r="I6" s="278"/>
      <c r="J6" s="278" t="s">
        <v>271</v>
      </c>
    </row>
    <row r="7" spans="1:10" ht="16.5" customHeight="1">
      <c r="A7" s="830" t="s">
        <v>273</v>
      </c>
      <c r="B7" s="830"/>
      <c r="C7" s="830"/>
      <c r="D7" s="830"/>
      <c r="E7" s="830"/>
      <c r="F7" s="830"/>
      <c r="G7" s="830"/>
      <c r="H7" s="830"/>
      <c r="I7" s="830"/>
      <c r="J7" s="830"/>
    </row>
    <row r="8" spans="1:10" ht="12" customHeight="1" thickBot="1">
      <c r="A8" s="851"/>
      <c r="B8" s="851"/>
      <c r="C8" s="851"/>
      <c r="D8" s="851"/>
      <c r="E8" s="851"/>
      <c r="F8" s="851"/>
      <c r="G8" s="851"/>
      <c r="H8" s="851"/>
      <c r="I8" s="362"/>
      <c r="J8" s="173"/>
    </row>
    <row r="9" spans="1:10" ht="20.25" customHeight="1">
      <c r="A9" s="841" t="s">
        <v>4</v>
      </c>
      <c r="B9" s="847" t="s">
        <v>185</v>
      </c>
      <c r="C9" s="848"/>
      <c r="D9" s="848"/>
      <c r="E9" s="848"/>
      <c r="F9" s="848"/>
      <c r="G9" s="848"/>
      <c r="H9" s="848"/>
      <c r="I9" s="848"/>
      <c r="J9" s="849"/>
    </row>
    <row r="10" spans="1:10" ht="18" customHeight="1">
      <c r="A10" s="842"/>
      <c r="B10" s="816" t="s">
        <v>434</v>
      </c>
      <c r="C10" s="844" t="s">
        <v>196</v>
      </c>
      <c r="D10" s="845"/>
      <c r="E10" s="845"/>
      <c r="F10" s="845"/>
      <c r="G10" s="845"/>
      <c r="H10" s="845"/>
      <c r="I10" s="845"/>
      <c r="J10" s="846"/>
    </row>
    <row r="11" spans="1:10" ht="18" customHeight="1">
      <c r="A11" s="842"/>
      <c r="B11" s="817"/>
      <c r="C11" s="814" t="s">
        <v>553</v>
      </c>
      <c r="D11" s="819" t="s">
        <v>552</v>
      </c>
      <c r="E11" s="821" t="s">
        <v>579</v>
      </c>
      <c r="F11" s="822"/>
      <c r="G11" s="814" t="s">
        <v>42</v>
      </c>
      <c r="H11" s="823" t="s">
        <v>43</v>
      </c>
      <c r="I11" s="810" t="s">
        <v>538</v>
      </c>
      <c r="J11" s="812" t="s">
        <v>431</v>
      </c>
    </row>
    <row r="12" spans="1:10" ht="42.75" customHeight="1">
      <c r="A12" s="842"/>
      <c r="B12" s="818"/>
      <c r="C12" s="815"/>
      <c r="D12" s="820"/>
      <c r="E12" s="653" t="s">
        <v>582</v>
      </c>
      <c r="F12" s="653" t="s">
        <v>580</v>
      </c>
      <c r="G12" s="815"/>
      <c r="H12" s="824"/>
      <c r="I12" s="811"/>
      <c r="J12" s="813"/>
    </row>
    <row r="13" spans="1:10" ht="38.25" customHeight="1" thickBot="1">
      <c r="A13" s="843"/>
      <c r="B13" s="654" t="s">
        <v>432</v>
      </c>
      <c r="C13" s="654" t="s">
        <v>564</v>
      </c>
      <c r="D13" s="655" t="s">
        <v>436</v>
      </c>
      <c r="E13" s="656" t="s">
        <v>432</v>
      </c>
      <c r="F13" s="656" t="s">
        <v>432</v>
      </c>
      <c r="G13" s="657" t="s">
        <v>432</v>
      </c>
      <c r="H13" s="658" t="s">
        <v>433</v>
      </c>
      <c r="I13" s="659" t="s">
        <v>437</v>
      </c>
      <c r="J13" s="660" t="s">
        <v>437</v>
      </c>
    </row>
    <row r="14" spans="1:10" ht="21" customHeight="1">
      <c r="A14" s="838" t="s">
        <v>229</v>
      </c>
      <c r="B14" s="839"/>
      <c r="C14" s="839"/>
      <c r="D14" s="839"/>
      <c r="E14" s="839"/>
      <c r="F14" s="839"/>
      <c r="G14" s="839"/>
      <c r="H14" s="839"/>
      <c r="I14" s="839"/>
      <c r="J14" s="840"/>
    </row>
    <row r="15" spans="1:27" s="216" customFormat="1" ht="33" customHeight="1">
      <c r="A15" s="439" t="s">
        <v>518</v>
      </c>
      <c r="B15" s="396">
        <f>ROUND(C15+D15+G15+H15*2.9+J15*$L$1+I15*2.9,0)</f>
        <v>23516</v>
      </c>
      <c r="C15" s="417">
        <f>C16</f>
        <v>11188</v>
      </c>
      <c r="D15" s="417">
        <v>3274</v>
      </c>
      <c r="E15" s="489">
        <v>0</v>
      </c>
      <c r="F15" s="489">
        <f>F16</f>
        <v>0</v>
      </c>
      <c r="G15" s="418">
        <f>790</f>
        <v>790</v>
      </c>
      <c r="H15" s="418">
        <v>2724</v>
      </c>
      <c r="I15" s="561">
        <v>0</v>
      </c>
      <c r="J15" s="423">
        <f>'1.2. Диспансерное наблюдение'!$E$9-'1.2. Диспансерное наблюдение'!F9</f>
        <v>364</v>
      </c>
      <c r="K15" s="215"/>
      <c r="L15" s="215"/>
      <c r="M15" s="215"/>
      <c r="N15" s="215"/>
      <c r="O15" s="215"/>
      <c r="T15" s="215"/>
      <c r="U15" s="215"/>
      <c r="V15" s="215"/>
      <c r="W15" s="215"/>
      <c r="X15" s="215"/>
      <c r="Y15" s="215"/>
      <c r="Z15" s="215"/>
      <c r="AA15" s="215"/>
    </row>
    <row r="16" spans="1:15" s="196" customFormat="1" ht="48.75" customHeight="1">
      <c r="A16" s="562" t="s">
        <v>566</v>
      </c>
      <c r="B16" s="199">
        <f aca="true" t="shared" si="0" ref="B16:B23">ROUND(C16+D16+G16+H16*2.9+J16*$L$1+I16,0)</f>
        <v>11188</v>
      </c>
      <c r="C16" s="434">
        <f>C17+C20+C21+C22+C23</f>
        <v>11188</v>
      </c>
      <c r="D16" s="346">
        <v>0</v>
      </c>
      <c r="E16" s="561">
        <v>0</v>
      </c>
      <c r="F16" s="563">
        <f>F17+F20+F21+F22+F23</f>
        <v>0</v>
      </c>
      <c r="G16" s="561">
        <v>0</v>
      </c>
      <c r="H16" s="346">
        <v>0</v>
      </c>
      <c r="I16" s="561">
        <v>0</v>
      </c>
      <c r="J16" s="564">
        <v>0</v>
      </c>
      <c r="K16" s="197"/>
      <c r="L16" s="197"/>
      <c r="M16" s="197"/>
      <c r="N16" s="197"/>
      <c r="O16" s="197"/>
    </row>
    <row r="17" spans="1:27" s="196" customFormat="1" ht="49.5" customHeight="1">
      <c r="A17" s="565" t="s">
        <v>560</v>
      </c>
      <c r="B17" s="199">
        <f t="shared" si="0"/>
        <v>7868</v>
      </c>
      <c r="C17" s="563">
        <f>7868</f>
        <v>7868</v>
      </c>
      <c r="D17" s="346">
        <v>0</v>
      </c>
      <c r="E17" s="561">
        <v>0</v>
      </c>
      <c r="F17" s="561">
        <v>0</v>
      </c>
      <c r="G17" s="561">
        <v>0</v>
      </c>
      <c r="H17" s="346">
        <v>0</v>
      </c>
      <c r="I17" s="561">
        <v>0</v>
      </c>
      <c r="J17" s="564">
        <v>0</v>
      </c>
      <c r="K17" s="197"/>
      <c r="L17" s="197"/>
      <c r="M17" s="197"/>
      <c r="N17" s="197"/>
      <c r="O17" s="197"/>
      <c r="T17" s="197"/>
      <c r="U17" s="197"/>
      <c r="V17" s="197"/>
      <c r="W17" s="197"/>
      <c r="X17" s="197"/>
      <c r="Y17" s="197"/>
      <c r="Z17" s="197"/>
      <c r="AA17" s="197"/>
    </row>
    <row r="18" spans="1:27" s="196" customFormat="1" ht="31.5" customHeight="1">
      <c r="A18" s="565" t="s">
        <v>519</v>
      </c>
      <c r="B18" s="199">
        <f t="shared" si="0"/>
        <v>0</v>
      </c>
      <c r="C18" s="561">
        <v>0</v>
      </c>
      <c r="D18" s="346">
        <v>0</v>
      </c>
      <c r="E18" s="561">
        <v>0</v>
      </c>
      <c r="F18" s="561">
        <v>0</v>
      </c>
      <c r="G18" s="561">
        <v>0</v>
      </c>
      <c r="H18" s="346">
        <v>0</v>
      </c>
      <c r="I18" s="561">
        <v>0</v>
      </c>
      <c r="J18" s="564">
        <v>0</v>
      </c>
      <c r="K18" s="197"/>
      <c r="L18" s="197"/>
      <c r="M18" s="197"/>
      <c r="N18" s="197"/>
      <c r="O18" s="197"/>
      <c r="T18" s="197"/>
      <c r="U18" s="197"/>
      <c r="V18" s="197"/>
      <c r="W18" s="197"/>
      <c r="X18" s="197"/>
      <c r="Y18" s="197"/>
      <c r="Z18" s="197"/>
      <c r="AA18" s="197"/>
    </row>
    <row r="19" spans="1:27" s="196" customFormat="1" ht="19.5" customHeight="1">
      <c r="A19" s="565" t="s">
        <v>520</v>
      </c>
      <c r="B19" s="199">
        <f t="shared" si="0"/>
        <v>0</v>
      </c>
      <c r="C19" s="561">
        <v>0</v>
      </c>
      <c r="D19" s="346">
        <v>0</v>
      </c>
      <c r="E19" s="561">
        <v>0</v>
      </c>
      <c r="F19" s="561">
        <v>0</v>
      </c>
      <c r="G19" s="561">
        <v>0</v>
      </c>
      <c r="H19" s="346">
        <v>0</v>
      </c>
      <c r="I19" s="561">
        <v>0</v>
      </c>
      <c r="J19" s="564">
        <v>0</v>
      </c>
      <c r="K19" s="197"/>
      <c r="L19" s="197"/>
      <c r="M19" s="197"/>
      <c r="N19" s="197"/>
      <c r="O19" s="197"/>
      <c r="T19" s="197"/>
      <c r="U19" s="197"/>
      <c r="V19" s="197"/>
      <c r="W19" s="197"/>
      <c r="X19" s="197"/>
      <c r="Y19" s="197"/>
      <c r="Z19" s="197"/>
      <c r="AA19" s="197"/>
    </row>
    <row r="20" spans="1:27" s="196" customFormat="1" ht="33" customHeight="1">
      <c r="A20" s="565" t="s">
        <v>521</v>
      </c>
      <c r="B20" s="199">
        <f t="shared" si="0"/>
        <v>2170</v>
      </c>
      <c r="C20" s="563">
        <v>2170</v>
      </c>
      <c r="D20" s="346">
        <v>0</v>
      </c>
      <c r="E20" s="561">
        <v>0</v>
      </c>
      <c r="F20" s="561">
        <v>0</v>
      </c>
      <c r="G20" s="561">
        <v>0</v>
      </c>
      <c r="H20" s="346">
        <v>0</v>
      </c>
      <c r="I20" s="561">
        <v>0</v>
      </c>
      <c r="J20" s="564">
        <v>0</v>
      </c>
      <c r="K20" s="197"/>
      <c r="L20" s="197"/>
      <c r="M20" s="197"/>
      <c r="N20" s="197"/>
      <c r="O20" s="197"/>
      <c r="T20" s="197"/>
      <c r="U20" s="197"/>
      <c r="V20" s="197"/>
      <c r="W20" s="197"/>
      <c r="X20" s="197"/>
      <c r="Y20" s="197"/>
      <c r="Z20" s="197"/>
      <c r="AA20" s="197"/>
    </row>
    <row r="21" spans="1:15" s="196" customFormat="1" ht="45">
      <c r="A21" s="566" t="s">
        <v>135</v>
      </c>
      <c r="B21" s="199">
        <f t="shared" si="0"/>
        <v>52</v>
      </c>
      <c r="C21" s="434">
        <v>52</v>
      </c>
      <c r="D21" s="346">
        <v>0</v>
      </c>
      <c r="E21" s="561">
        <v>0</v>
      </c>
      <c r="F21" s="561">
        <v>0</v>
      </c>
      <c r="G21" s="561">
        <v>0</v>
      </c>
      <c r="H21" s="346">
        <v>0</v>
      </c>
      <c r="I21" s="561">
        <v>0</v>
      </c>
      <c r="J21" s="564">
        <v>0</v>
      </c>
      <c r="K21" s="197"/>
      <c r="L21" s="197"/>
      <c r="M21" s="197"/>
      <c r="N21" s="197"/>
      <c r="O21" s="197"/>
    </row>
    <row r="22" spans="1:15" s="196" customFormat="1" ht="43.5" customHeight="1">
      <c r="A22" s="565" t="s">
        <v>136</v>
      </c>
      <c r="B22" s="199">
        <f t="shared" si="0"/>
        <v>73</v>
      </c>
      <c r="C22" s="434">
        <v>73</v>
      </c>
      <c r="D22" s="346">
        <v>0</v>
      </c>
      <c r="E22" s="561">
        <v>0</v>
      </c>
      <c r="F22" s="561">
        <v>0</v>
      </c>
      <c r="G22" s="561">
        <v>0</v>
      </c>
      <c r="H22" s="346">
        <v>0</v>
      </c>
      <c r="I22" s="561">
        <v>0</v>
      </c>
      <c r="J22" s="564">
        <v>0</v>
      </c>
      <c r="K22" s="197"/>
      <c r="L22" s="197"/>
      <c r="M22" s="197"/>
      <c r="N22" s="197"/>
      <c r="O22" s="197"/>
    </row>
    <row r="23" spans="1:15" s="196" customFormat="1" ht="30">
      <c r="A23" s="565" t="s">
        <v>137</v>
      </c>
      <c r="B23" s="199">
        <f t="shared" si="0"/>
        <v>1025</v>
      </c>
      <c r="C23" s="434">
        <v>1025</v>
      </c>
      <c r="D23" s="346">
        <v>0</v>
      </c>
      <c r="E23" s="561">
        <v>0</v>
      </c>
      <c r="F23" s="561">
        <v>0</v>
      </c>
      <c r="G23" s="561">
        <v>0</v>
      </c>
      <c r="H23" s="346">
        <v>0</v>
      </c>
      <c r="I23" s="561">
        <v>0</v>
      </c>
      <c r="J23" s="564">
        <v>0</v>
      </c>
      <c r="K23" s="197"/>
      <c r="L23" s="197"/>
      <c r="M23" s="197"/>
      <c r="N23" s="197"/>
      <c r="O23" s="197"/>
    </row>
    <row r="24" spans="1:27" s="216" customFormat="1" ht="19.5" customHeight="1">
      <c r="A24" s="433" t="s">
        <v>44</v>
      </c>
      <c r="B24" s="396">
        <f aca="true" t="shared" si="1" ref="B24:B29">ROUND(C24+D24+G24+H24*2.9+J24*$L$1+I24*2.9,0)</f>
        <v>10203</v>
      </c>
      <c r="C24" s="416">
        <v>0</v>
      </c>
      <c r="D24" s="421">
        <f>2817</f>
        <v>2817</v>
      </c>
      <c r="E24" s="489">
        <v>0</v>
      </c>
      <c r="F24" s="489">
        <v>0</v>
      </c>
      <c r="G24" s="418">
        <f>339</f>
        <v>339</v>
      </c>
      <c r="H24" s="418">
        <f>2430</f>
        <v>2430</v>
      </c>
      <c r="I24" s="561">
        <v>0</v>
      </c>
      <c r="J24" s="419">
        <v>0</v>
      </c>
      <c r="K24" s="215"/>
      <c r="L24" s="215"/>
      <c r="M24" s="215"/>
      <c r="N24" s="215"/>
      <c r="O24" s="215"/>
      <c r="T24" s="215"/>
      <c r="U24" s="215"/>
      <c r="V24" s="215"/>
      <c r="W24" s="215"/>
      <c r="X24" s="215"/>
      <c r="Y24" s="215"/>
      <c r="Z24" s="215"/>
      <c r="AA24" s="215"/>
    </row>
    <row r="25" spans="1:27" s="216" customFormat="1" ht="27" customHeight="1">
      <c r="A25" s="433" t="s">
        <v>8</v>
      </c>
      <c r="B25" s="396">
        <f>ROUND(C25+D25+G25+H25*2.9+J25*$L$1+I25*2.9,0)+1</f>
        <v>3805</v>
      </c>
      <c r="C25" s="416">
        <v>0</v>
      </c>
      <c r="D25" s="421">
        <f>1085</f>
        <v>1085</v>
      </c>
      <c r="E25" s="489">
        <v>751</v>
      </c>
      <c r="F25" s="489">
        <v>0</v>
      </c>
      <c r="G25" s="422">
        <v>5</v>
      </c>
      <c r="H25" s="422">
        <f>936</f>
        <v>936</v>
      </c>
      <c r="I25" s="561">
        <v>0</v>
      </c>
      <c r="J25" s="419">
        <v>0</v>
      </c>
      <c r="K25" s="215"/>
      <c r="L25" s="215"/>
      <c r="M25" s="215"/>
      <c r="N25" s="215"/>
      <c r="O25" s="215"/>
      <c r="T25" s="215"/>
      <c r="U25" s="215"/>
      <c r="V25" s="215"/>
      <c r="W25" s="215"/>
      <c r="X25" s="215"/>
      <c r="Y25" s="215"/>
      <c r="Z25" s="215"/>
      <c r="AA25" s="215"/>
    </row>
    <row r="26" spans="1:27" s="216" customFormat="1" ht="19.5" customHeight="1">
      <c r="A26" s="433" t="s">
        <v>12</v>
      </c>
      <c r="B26" s="396">
        <f t="shared" si="1"/>
        <v>10460</v>
      </c>
      <c r="C26" s="416">
        <v>0</v>
      </c>
      <c r="D26" s="421">
        <f>2114+804</f>
        <v>2918</v>
      </c>
      <c r="E26" s="489">
        <v>404</v>
      </c>
      <c r="F26" s="489">
        <v>0</v>
      </c>
      <c r="G26" s="422">
        <f>100</f>
        <v>100</v>
      </c>
      <c r="H26" s="422">
        <f>1822+692</f>
        <v>2514</v>
      </c>
      <c r="I26" s="561">
        <v>0</v>
      </c>
      <c r="J26" s="423">
        <f>'1.2. Диспансерное наблюдение'!$E$14-'1.2. Диспансерное наблюдение'!$G$14</f>
        <v>151</v>
      </c>
      <c r="K26" s="215"/>
      <c r="L26" s="215"/>
      <c r="M26" s="215"/>
      <c r="N26" s="215"/>
      <c r="O26" s="215"/>
      <c r="T26" s="215"/>
      <c r="U26" s="215"/>
      <c r="V26" s="215"/>
      <c r="W26" s="215"/>
      <c r="X26" s="215"/>
      <c r="Y26" s="215"/>
      <c r="Z26" s="215"/>
      <c r="AA26" s="215"/>
    </row>
    <row r="27" spans="1:27" s="216" customFormat="1" ht="19.5" customHeight="1">
      <c r="A27" s="433" t="s">
        <v>435</v>
      </c>
      <c r="B27" s="399">
        <f t="shared" si="1"/>
        <v>6915</v>
      </c>
      <c r="C27" s="416">
        <v>0</v>
      </c>
      <c r="D27" s="421">
        <f>945+934</f>
        <v>1879</v>
      </c>
      <c r="E27" s="489">
        <v>439</v>
      </c>
      <c r="F27" s="489">
        <v>0</v>
      </c>
      <c r="G27" s="422">
        <f>75+113</f>
        <v>188</v>
      </c>
      <c r="H27" s="422">
        <f>814+804</f>
        <v>1618</v>
      </c>
      <c r="I27" s="561">
        <v>0</v>
      </c>
      <c r="J27" s="423">
        <f>'1.2. Диспансерное наблюдение'!$E$19</f>
        <v>156</v>
      </c>
      <c r="K27" s="215"/>
      <c r="L27" s="215"/>
      <c r="M27" s="215"/>
      <c r="N27" s="215"/>
      <c r="O27" s="215"/>
      <c r="T27" s="215"/>
      <c r="U27" s="215"/>
      <c r="V27" s="215"/>
      <c r="W27" s="215"/>
      <c r="X27" s="215"/>
      <c r="Y27" s="215"/>
      <c r="Z27" s="215"/>
      <c r="AA27" s="215"/>
    </row>
    <row r="28" spans="1:27" s="216" customFormat="1" ht="19.5" customHeight="1">
      <c r="A28" s="433" t="s">
        <v>60</v>
      </c>
      <c r="B28" s="399">
        <f t="shared" si="1"/>
        <v>1212</v>
      </c>
      <c r="C28" s="416">
        <v>0</v>
      </c>
      <c r="D28" s="421">
        <f>276</f>
        <v>276</v>
      </c>
      <c r="E28" s="489">
        <v>276</v>
      </c>
      <c r="F28" s="489">
        <v>0</v>
      </c>
      <c r="G28" s="418">
        <f>66</f>
        <v>66</v>
      </c>
      <c r="H28" s="418">
        <f>237</f>
        <v>237</v>
      </c>
      <c r="I28" s="561">
        <v>0</v>
      </c>
      <c r="J28" s="423">
        <f>'1.2. Диспансерное наблюдение'!$E$24</f>
        <v>183</v>
      </c>
      <c r="K28" s="215"/>
      <c r="L28" s="215"/>
      <c r="M28" s="215"/>
      <c r="N28" s="215"/>
      <c r="O28" s="215"/>
      <c r="T28" s="215"/>
      <c r="U28" s="215"/>
      <c r="V28" s="215"/>
      <c r="W28" s="215"/>
      <c r="X28" s="215"/>
      <c r="Y28" s="215"/>
      <c r="Z28" s="215"/>
      <c r="AA28" s="215"/>
    </row>
    <row r="29" spans="1:15" s="216" customFormat="1" ht="19.5" customHeight="1">
      <c r="A29" s="433" t="s">
        <v>516</v>
      </c>
      <c r="B29" s="396">
        <f t="shared" si="1"/>
        <v>13226</v>
      </c>
      <c r="C29" s="440">
        <f>C30</f>
        <v>2628</v>
      </c>
      <c r="D29" s="421">
        <f>216+699+1835</f>
        <v>2750</v>
      </c>
      <c r="E29" s="489">
        <f>216+334</f>
        <v>550</v>
      </c>
      <c r="F29" s="489">
        <v>0</v>
      </c>
      <c r="G29" s="422">
        <f>136+90+270</f>
        <v>496</v>
      </c>
      <c r="H29" s="422">
        <f>180+598+1564</f>
        <v>2342</v>
      </c>
      <c r="I29" s="561">
        <v>0</v>
      </c>
      <c r="J29" s="423">
        <f>'1.2. Диспансерное наблюдение'!$E$29</f>
        <v>560</v>
      </c>
      <c r="K29" s="215"/>
      <c r="L29" s="215"/>
      <c r="M29" s="215"/>
      <c r="N29" s="215"/>
      <c r="O29" s="215"/>
    </row>
    <row r="30" spans="1:15" ht="45.75" customHeight="1">
      <c r="A30" s="562" t="s">
        <v>566</v>
      </c>
      <c r="B30" s="199">
        <f aca="true" t="shared" si="2" ref="B30:B37">ROUND(C30+D30+G30+H30*2.9+J30*$L$1+I30,0)</f>
        <v>2628</v>
      </c>
      <c r="C30" s="563">
        <f>SUM(C31:C37)</f>
        <v>2628</v>
      </c>
      <c r="D30" s="346">
        <v>0</v>
      </c>
      <c r="E30" s="561">
        <v>0</v>
      </c>
      <c r="F30" s="561">
        <v>0</v>
      </c>
      <c r="G30" s="346">
        <v>0</v>
      </c>
      <c r="H30" s="346">
        <v>0</v>
      </c>
      <c r="I30" s="561">
        <v>0</v>
      </c>
      <c r="J30" s="325">
        <v>0</v>
      </c>
      <c r="K30" s="174"/>
      <c r="L30" s="174"/>
      <c r="M30" s="174"/>
      <c r="N30" s="174"/>
      <c r="O30" s="174"/>
    </row>
    <row r="31" spans="1:15" ht="46.5" customHeight="1">
      <c r="A31" s="565" t="s">
        <v>560</v>
      </c>
      <c r="B31" s="199">
        <f t="shared" si="2"/>
        <v>0</v>
      </c>
      <c r="C31" s="563">
        <v>0</v>
      </c>
      <c r="D31" s="346">
        <v>0</v>
      </c>
      <c r="E31" s="561">
        <v>0</v>
      </c>
      <c r="F31" s="561">
        <v>0</v>
      </c>
      <c r="G31" s="346">
        <v>0</v>
      </c>
      <c r="H31" s="346">
        <v>0</v>
      </c>
      <c r="I31" s="561">
        <v>0</v>
      </c>
      <c r="J31" s="325">
        <v>0</v>
      </c>
      <c r="K31" s="174"/>
      <c r="L31" s="174"/>
      <c r="M31" s="174"/>
      <c r="N31" s="174"/>
      <c r="O31" s="174"/>
    </row>
    <row r="32" spans="1:15" ht="28.5" customHeight="1">
      <c r="A32" s="565" t="s">
        <v>519</v>
      </c>
      <c r="B32" s="199">
        <f t="shared" si="2"/>
        <v>0</v>
      </c>
      <c r="C32" s="563">
        <v>0</v>
      </c>
      <c r="D32" s="346">
        <v>0</v>
      </c>
      <c r="E32" s="561">
        <v>0</v>
      </c>
      <c r="F32" s="561">
        <v>0</v>
      </c>
      <c r="G32" s="346">
        <v>0</v>
      </c>
      <c r="H32" s="346">
        <v>0</v>
      </c>
      <c r="I32" s="561">
        <v>0</v>
      </c>
      <c r="J32" s="325">
        <v>0</v>
      </c>
      <c r="K32" s="174"/>
      <c r="L32" s="174"/>
      <c r="M32" s="174"/>
      <c r="N32" s="174"/>
      <c r="O32" s="174"/>
    </row>
    <row r="33" spans="1:15" ht="28.5" customHeight="1">
      <c r="A33" s="565" t="s">
        <v>520</v>
      </c>
      <c r="B33" s="199">
        <f t="shared" si="2"/>
        <v>0</v>
      </c>
      <c r="C33" s="563">
        <v>0</v>
      </c>
      <c r="D33" s="346">
        <v>0</v>
      </c>
      <c r="E33" s="561">
        <v>0</v>
      </c>
      <c r="F33" s="561">
        <v>0</v>
      </c>
      <c r="G33" s="346">
        <v>0</v>
      </c>
      <c r="H33" s="346">
        <v>0</v>
      </c>
      <c r="I33" s="561">
        <v>0</v>
      </c>
      <c r="J33" s="325">
        <v>0</v>
      </c>
      <c r="K33" s="174"/>
      <c r="L33" s="174"/>
      <c r="M33" s="174"/>
      <c r="N33" s="174"/>
      <c r="O33" s="174"/>
    </row>
    <row r="34" spans="1:15" ht="35.25" customHeight="1">
      <c r="A34" s="565" t="s">
        <v>521</v>
      </c>
      <c r="B34" s="199">
        <f t="shared" si="2"/>
        <v>0</v>
      </c>
      <c r="C34" s="563">
        <v>0</v>
      </c>
      <c r="D34" s="346">
        <v>0</v>
      </c>
      <c r="E34" s="561">
        <v>0</v>
      </c>
      <c r="F34" s="561">
        <v>0</v>
      </c>
      <c r="G34" s="346">
        <v>0</v>
      </c>
      <c r="H34" s="346">
        <v>0</v>
      </c>
      <c r="I34" s="561">
        <v>0</v>
      </c>
      <c r="J34" s="325">
        <v>0</v>
      </c>
      <c r="K34" s="174"/>
      <c r="L34" s="174"/>
      <c r="M34" s="174"/>
      <c r="N34" s="174"/>
      <c r="O34" s="174"/>
    </row>
    <row r="35" spans="1:15" ht="45">
      <c r="A35" s="566" t="s">
        <v>135</v>
      </c>
      <c r="B35" s="199">
        <f t="shared" si="2"/>
        <v>144</v>
      </c>
      <c r="C35" s="563">
        <v>144</v>
      </c>
      <c r="D35" s="346">
        <v>0</v>
      </c>
      <c r="E35" s="561">
        <v>0</v>
      </c>
      <c r="F35" s="561">
        <v>0</v>
      </c>
      <c r="G35" s="346">
        <v>0</v>
      </c>
      <c r="H35" s="346">
        <v>0</v>
      </c>
      <c r="I35" s="561">
        <v>0</v>
      </c>
      <c r="J35" s="325">
        <v>0</v>
      </c>
      <c r="K35" s="174"/>
      <c r="L35" s="174"/>
      <c r="M35" s="174"/>
      <c r="N35" s="174"/>
      <c r="O35" s="174"/>
    </row>
    <row r="36" spans="1:15" ht="60">
      <c r="A36" s="565" t="s">
        <v>136</v>
      </c>
      <c r="B36" s="199">
        <f t="shared" si="2"/>
        <v>107</v>
      </c>
      <c r="C36" s="563">
        <f>29+21+57</f>
        <v>107</v>
      </c>
      <c r="D36" s="346">
        <v>0</v>
      </c>
      <c r="E36" s="561">
        <v>0</v>
      </c>
      <c r="F36" s="561">
        <v>0</v>
      </c>
      <c r="G36" s="346">
        <v>0</v>
      </c>
      <c r="H36" s="346">
        <v>0</v>
      </c>
      <c r="I36" s="561">
        <v>0</v>
      </c>
      <c r="J36" s="325">
        <v>0</v>
      </c>
      <c r="K36" s="174"/>
      <c r="L36" s="174"/>
      <c r="M36" s="174"/>
      <c r="N36" s="174"/>
      <c r="O36" s="174"/>
    </row>
    <row r="37" spans="1:15" ht="30">
      <c r="A37" s="565" t="s">
        <v>137</v>
      </c>
      <c r="B37" s="199">
        <f t="shared" si="2"/>
        <v>2377</v>
      </c>
      <c r="C37" s="563">
        <f>504+270+1603</f>
        <v>2377</v>
      </c>
      <c r="D37" s="346">
        <v>0</v>
      </c>
      <c r="E37" s="561">
        <v>0</v>
      </c>
      <c r="F37" s="561">
        <v>0</v>
      </c>
      <c r="G37" s="346">
        <v>0</v>
      </c>
      <c r="H37" s="346">
        <v>0</v>
      </c>
      <c r="I37" s="561">
        <v>0</v>
      </c>
      <c r="J37" s="325">
        <v>0</v>
      </c>
      <c r="K37" s="174"/>
      <c r="L37" s="174"/>
      <c r="M37" s="174"/>
      <c r="N37" s="174"/>
      <c r="O37" s="174"/>
    </row>
    <row r="38" spans="1:27" s="216" customFormat="1" ht="20.25" customHeight="1">
      <c r="A38" s="433" t="s">
        <v>5</v>
      </c>
      <c r="B38" s="396">
        <f>ROUND(C38+D38+G38+H38*2.9+J38*$L$1+I38*2.9,0)+1</f>
        <v>5190</v>
      </c>
      <c r="C38" s="416">
        <v>0</v>
      </c>
      <c r="D38" s="421">
        <f>1064</f>
        <v>1064</v>
      </c>
      <c r="E38" s="490">
        <v>0</v>
      </c>
      <c r="F38" s="490">
        <v>0</v>
      </c>
      <c r="G38" s="422">
        <f>106</f>
        <v>106</v>
      </c>
      <c r="H38" s="422">
        <f>906</f>
        <v>906</v>
      </c>
      <c r="I38" s="561">
        <v>0</v>
      </c>
      <c r="J38" s="423">
        <f>'1.2. Диспансерное наблюдение'!$E$34-'1.2. Диспансерное наблюдение'!$F$34</f>
        <v>1392</v>
      </c>
      <c r="K38" s="215"/>
      <c r="L38" s="215"/>
      <c r="M38" s="215"/>
      <c r="N38" s="215"/>
      <c r="O38" s="215"/>
      <c r="T38" s="215"/>
      <c r="U38" s="215"/>
      <c r="V38" s="215"/>
      <c r="W38" s="215"/>
      <c r="X38" s="215"/>
      <c r="Y38" s="215"/>
      <c r="Z38" s="215"/>
      <c r="AA38" s="215"/>
    </row>
    <row r="39" spans="1:27" s="216" customFormat="1" ht="36" customHeight="1">
      <c r="A39" s="433" t="s">
        <v>525</v>
      </c>
      <c r="B39" s="396">
        <f>ROUND(C39+D39+G39+H39*2.9+J39*$L$1+I39*2.9,0)+1</f>
        <v>7954</v>
      </c>
      <c r="C39" s="421">
        <f>C40</f>
        <v>1097</v>
      </c>
      <c r="D39" s="421">
        <f>1027+859</f>
        <v>1886</v>
      </c>
      <c r="E39" s="490">
        <v>652</v>
      </c>
      <c r="F39" s="490">
        <v>0</v>
      </c>
      <c r="G39" s="422">
        <f>95+95</f>
        <v>190</v>
      </c>
      <c r="H39" s="422">
        <f>883+733</f>
        <v>1616</v>
      </c>
      <c r="I39" s="561">
        <v>0</v>
      </c>
      <c r="J39" s="423">
        <f>'1.2. Диспансерное наблюдение'!$E$39</f>
        <v>94</v>
      </c>
      <c r="K39" s="215"/>
      <c r="L39" s="215"/>
      <c r="M39" s="215"/>
      <c r="N39" s="215"/>
      <c r="O39" s="215"/>
      <c r="T39" s="215"/>
      <c r="U39" s="215"/>
      <c r="V39" s="215"/>
      <c r="W39" s="215"/>
      <c r="X39" s="215"/>
      <c r="Y39" s="215"/>
      <c r="Z39" s="215"/>
      <c r="AA39" s="215"/>
    </row>
    <row r="40" spans="1:15" s="196" customFormat="1" ht="46.5" customHeight="1">
      <c r="A40" s="562" t="s">
        <v>566</v>
      </c>
      <c r="B40" s="199">
        <f aca="true" t="shared" si="3" ref="B40:B47">ROUND(C40+D40+G40+H40*2.9+J40*$L$1+I40,0)</f>
        <v>1097</v>
      </c>
      <c r="C40" s="563">
        <f>SUM(C41:C47)</f>
        <v>1097</v>
      </c>
      <c r="D40" s="346">
        <v>0</v>
      </c>
      <c r="E40" s="561">
        <v>0</v>
      </c>
      <c r="F40" s="561">
        <v>0</v>
      </c>
      <c r="G40" s="561">
        <v>0</v>
      </c>
      <c r="H40" s="346">
        <v>0</v>
      </c>
      <c r="I40" s="561">
        <v>0</v>
      </c>
      <c r="J40" s="564">
        <v>0</v>
      </c>
      <c r="K40" s="197"/>
      <c r="L40" s="197"/>
      <c r="M40" s="197"/>
      <c r="N40" s="197"/>
      <c r="O40" s="197"/>
    </row>
    <row r="41" spans="1:15" s="196" customFormat="1" ht="45">
      <c r="A41" s="565" t="s">
        <v>560</v>
      </c>
      <c r="B41" s="199">
        <f t="shared" si="3"/>
        <v>0</v>
      </c>
      <c r="C41" s="561">
        <v>0</v>
      </c>
      <c r="D41" s="346">
        <v>0</v>
      </c>
      <c r="E41" s="561">
        <v>0</v>
      </c>
      <c r="F41" s="561">
        <v>0</v>
      </c>
      <c r="G41" s="438">
        <v>0</v>
      </c>
      <c r="H41" s="528">
        <v>0</v>
      </c>
      <c r="I41" s="561">
        <v>0</v>
      </c>
      <c r="J41" s="564">
        <v>0</v>
      </c>
      <c r="K41" s="197"/>
      <c r="L41" s="197"/>
      <c r="M41" s="197"/>
      <c r="N41" s="197"/>
      <c r="O41" s="197"/>
    </row>
    <row r="42" spans="1:15" s="196" customFormat="1" ht="26.25" customHeight="1">
      <c r="A42" s="565" t="s">
        <v>519</v>
      </c>
      <c r="B42" s="199">
        <f t="shared" si="3"/>
        <v>0</v>
      </c>
      <c r="C42" s="561">
        <v>0</v>
      </c>
      <c r="D42" s="346">
        <v>0</v>
      </c>
      <c r="E42" s="561">
        <v>0</v>
      </c>
      <c r="F42" s="561">
        <v>0</v>
      </c>
      <c r="G42" s="438">
        <v>0</v>
      </c>
      <c r="H42" s="528">
        <v>0</v>
      </c>
      <c r="I42" s="561">
        <v>0</v>
      </c>
      <c r="J42" s="564">
        <v>0</v>
      </c>
      <c r="K42" s="197"/>
      <c r="L42" s="197"/>
      <c r="M42" s="197"/>
      <c r="N42" s="197"/>
      <c r="O42" s="197"/>
    </row>
    <row r="43" spans="1:15" s="196" customFormat="1" ht="21.75" customHeight="1">
      <c r="A43" s="565" t="s">
        <v>520</v>
      </c>
      <c r="B43" s="199">
        <f t="shared" si="3"/>
        <v>0</v>
      </c>
      <c r="C43" s="561">
        <v>0</v>
      </c>
      <c r="D43" s="346">
        <v>0</v>
      </c>
      <c r="E43" s="561">
        <v>0</v>
      </c>
      <c r="F43" s="561">
        <v>0</v>
      </c>
      <c r="G43" s="438">
        <v>0</v>
      </c>
      <c r="H43" s="528">
        <v>0</v>
      </c>
      <c r="I43" s="561">
        <v>0</v>
      </c>
      <c r="J43" s="564">
        <v>0</v>
      </c>
      <c r="K43" s="197"/>
      <c r="L43" s="197"/>
      <c r="M43" s="197"/>
      <c r="N43" s="197"/>
      <c r="O43" s="197"/>
    </row>
    <row r="44" spans="1:15" s="196" customFormat="1" ht="34.5" customHeight="1">
      <c r="A44" s="565" t="s">
        <v>521</v>
      </c>
      <c r="B44" s="199">
        <f t="shared" si="3"/>
        <v>0</v>
      </c>
      <c r="C44" s="561">
        <v>0</v>
      </c>
      <c r="D44" s="346">
        <v>0</v>
      </c>
      <c r="E44" s="561">
        <v>0</v>
      </c>
      <c r="F44" s="561">
        <v>0</v>
      </c>
      <c r="G44" s="438">
        <v>0</v>
      </c>
      <c r="H44" s="528">
        <v>0</v>
      </c>
      <c r="I44" s="561">
        <v>0</v>
      </c>
      <c r="J44" s="564">
        <v>0</v>
      </c>
      <c r="K44" s="197"/>
      <c r="L44" s="197"/>
      <c r="M44" s="197"/>
      <c r="N44" s="197"/>
      <c r="O44" s="197"/>
    </row>
    <row r="45" spans="1:15" s="196" customFormat="1" ht="45">
      <c r="A45" s="566" t="s">
        <v>135</v>
      </c>
      <c r="B45" s="199">
        <f t="shared" si="3"/>
        <v>144</v>
      </c>
      <c r="C45" s="563">
        <v>144</v>
      </c>
      <c r="D45" s="346">
        <v>0</v>
      </c>
      <c r="E45" s="561">
        <v>0</v>
      </c>
      <c r="F45" s="561">
        <v>0</v>
      </c>
      <c r="G45" s="438">
        <v>0</v>
      </c>
      <c r="H45" s="528">
        <v>0</v>
      </c>
      <c r="I45" s="561">
        <v>0</v>
      </c>
      <c r="J45" s="564">
        <v>0</v>
      </c>
      <c r="K45" s="197"/>
      <c r="L45" s="197"/>
      <c r="M45" s="197"/>
      <c r="N45" s="197"/>
      <c r="O45" s="197"/>
    </row>
    <row r="46" spans="1:15" s="196" customFormat="1" ht="60">
      <c r="A46" s="565" t="s">
        <v>136</v>
      </c>
      <c r="B46" s="199">
        <f t="shared" si="3"/>
        <v>46</v>
      </c>
      <c r="C46" s="563">
        <f>21+25</f>
        <v>46</v>
      </c>
      <c r="D46" s="346">
        <v>0</v>
      </c>
      <c r="E46" s="561">
        <v>0</v>
      </c>
      <c r="F46" s="561">
        <v>0</v>
      </c>
      <c r="G46" s="438">
        <v>0</v>
      </c>
      <c r="H46" s="528">
        <v>0</v>
      </c>
      <c r="I46" s="561">
        <v>0</v>
      </c>
      <c r="J46" s="564">
        <v>0</v>
      </c>
      <c r="K46" s="197"/>
      <c r="L46" s="197"/>
      <c r="M46" s="197"/>
      <c r="N46" s="197"/>
      <c r="O46" s="197"/>
    </row>
    <row r="47" spans="1:15" s="196" customFormat="1" ht="30">
      <c r="A47" s="565" t="s">
        <v>137</v>
      </c>
      <c r="B47" s="199">
        <f t="shared" si="3"/>
        <v>907</v>
      </c>
      <c r="C47" s="563">
        <f>226+681</f>
        <v>907</v>
      </c>
      <c r="D47" s="346">
        <v>0</v>
      </c>
      <c r="E47" s="561">
        <v>0</v>
      </c>
      <c r="F47" s="561">
        <v>0</v>
      </c>
      <c r="G47" s="438">
        <v>0</v>
      </c>
      <c r="H47" s="528">
        <v>0</v>
      </c>
      <c r="I47" s="561">
        <v>0</v>
      </c>
      <c r="J47" s="564">
        <v>0</v>
      </c>
      <c r="K47" s="197"/>
      <c r="L47" s="197"/>
      <c r="M47" s="197"/>
      <c r="N47" s="197"/>
      <c r="O47" s="197"/>
    </row>
    <row r="48" spans="1:27" s="216" customFormat="1" ht="25.5" customHeight="1">
      <c r="A48" s="433" t="s">
        <v>526</v>
      </c>
      <c r="B48" s="399">
        <f>ROUND(C48+D48+G48+H48*2.9+J48*$L$1+I48*2.9,0)</f>
        <v>13486</v>
      </c>
      <c r="C48" s="421">
        <f>C49</f>
        <v>1909</v>
      </c>
      <c r="D48" s="421">
        <f>1070+1137+950</f>
        <v>3157</v>
      </c>
      <c r="E48" s="490">
        <f>600+600</f>
        <v>1200</v>
      </c>
      <c r="F48" s="490">
        <v>0</v>
      </c>
      <c r="G48" s="422">
        <f>109+110+110</f>
        <v>329</v>
      </c>
      <c r="H48" s="422">
        <f>917+976+809</f>
        <v>2702</v>
      </c>
      <c r="I48" s="561">
        <v>0</v>
      </c>
      <c r="J48" s="423">
        <f>'1.2. Диспансерное наблюдение'!$E$44</f>
        <v>255</v>
      </c>
      <c r="K48" s="215"/>
      <c r="L48" s="215"/>
      <c r="M48" s="215"/>
      <c r="N48" s="215"/>
      <c r="O48" s="215"/>
      <c r="T48" s="215"/>
      <c r="U48" s="215"/>
      <c r="V48" s="215"/>
      <c r="W48" s="215"/>
      <c r="X48" s="215"/>
      <c r="Y48" s="215"/>
      <c r="Z48" s="215"/>
      <c r="AA48" s="215"/>
    </row>
    <row r="49" spans="1:15" s="196" customFormat="1" ht="47.25" customHeight="1">
      <c r="A49" s="562" t="s">
        <v>566</v>
      </c>
      <c r="B49" s="199">
        <f aca="true" t="shared" si="4" ref="B49:B56">ROUND(C49+D49+G49+H49*2.9+J49*$L$1+I49,0)</f>
        <v>1909</v>
      </c>
      <c r="C49" s="563">
        <f>SUM(C50:C56)</f>
        <v>1909</v>
      </c>
      <c r="D49" s="346">
        <v>0</v>
      </c>
      <c r="E49" s="561">
        <v>0</v>
      </c>
      <c r="F49" s="561">
        <v>0</v>
      </c>
      <c r="G49" s="436"/>
      <c r="H49" s="529"/>
      <c r="I49" s="561">
        <v>0</v>
      </c>
      <c r="J49" s="437"/>
      <c r="K49" s="197"/>
      <c r="L49" s="197"/>
      <c r="M49" s="197"/>
      <c r="N49" s="197"/>
      <c r="O49" s="197"/>
    </row>
    <row r="50" spans="1:15" s="568" customFormat="1" ht="44.25" customHeight="1">
      <c r="A50" s="565" t="s">
        <v>560</v>
      </c>
      <c r="B50" s="199">
        <f t="shared" si="4"/>
        <v>0</v>
      </c>
      <c r="C50" s="563">
        <v>0</v>
      </c>
      <c r="D50" s="346">
        <v>0</v>
      </c>
      <c r="E50" s="561">
        <v>0</v>
      </c>
      <c r="F50" s="561">
        <v>0</v>
      </c>
      <c r="G50" s="438">
        <v>0</v>
      </c>
      <c r="H50" s="528">
        <v>0</v>
      </c>
      <c r="I50" s="561">
        <v>0</v>
      </c>
      <c r="J50" s="564">
        <v>0</v>
      </c>
      <c r="K50" s="567"/>
      <c r="L50" s="567"/>
      <c r="M50" s="567"/>
      <c r="N50" s="567"/>
      <c r="O50" s="567"/>
    </row>
    <row r="51" spans="1:15" s="568" customFormat="1" ht="29.25" customHeight="1">
      <c r="A51" s="565" t="s">
        <v>519</v>
      </c>
      <c r="B51" s="199">
        <f t="shared" si="4"/>
        <v>0</v>
      </c>
      <c r="C51" s="563">
        <v>0</v>
      </c>
      <c r="D51" s="346">
        <v>0</v>
      </c>
      <c r="E51" s="561">
        <v>0</v>
      </c>
      <c r="F51" s="561">
        <v>0</v>
      </c>
      <c r="G51" s="438">
        <v>0</v>
      </c>
      <c r="H51" s="528">
        <v>0</v>
      </c>
      <c r="I51" s="561">
        <v>0</v>
      </c>
      <c r="J51" s="564">
        <v>0</v>
      </c>
      <c r="K51" s="567"/>
      <c r="L51" s="567"/>
      <c r="M51" s="567"/>
      <c r="N51" s="567"/>
      <c r="O51" s="567"/>
    </row>
    <row r="52" spans="1:15" s="568" customFormat="1" ht="24" customHeight="1">
      <c r="A52" s="565" t="s">
        <v>520</v>
      </c>
      <c r="B52" s="199">
        <f t="shared" si="4"/>
        <v>0</v>
      </c>
      <c r="C52" s="563">
        <v>0</v>
      </c>
      <c r="D52" s="346">
        <v>0</v>
      </c>
      <c r="E52" s="561">
        <v>0</v>
      </c>
      <c r="F52" s="561">
        <v>0</v>
      </c>
      <c r="G52" s="438">
        <v>0</v>
      </c>
      <c r="H52" s="528">
        <v>0</v>
      </c>
      <c r="I52" s="561">
        <v>0</v>
      </c>
      <c r="J52" s="564">
        <v>0</v>
      </c>
      <c r="K52" s="567"/>
      <c r="L52" s="567"/>
      <c r="M52" s="567"/>
      <c r="N52" s="567"/>
      <c r="O52" s="567"/>
    </row>
    <row r="53" spans="1:15" s="568" customFormat="1" ht="35.25" customHeight="1">
      <c r="A53" s="565" t="s">
        <v>521</v>
      </c>
      <c r="B53" s="199">
        <f t="shared" si="4"/>
        <v>0</v>
      </c>
      <c r="C53" s="563">
        <v>0</v>
      </c>
      <c r="D53" s="346">
        <v>0</v>
      </c>
      <c r="E53" s="561">
        <v>0</v>
      </c>
      <c r="F53" s="561">
        <v>0</v>
      </c>
      <c r="G53" s="438">
        <v>0</v>
      </c>
      <c r="H53" s="528">
        <v>0</v>
      </c>
      <c r="I53" s="561">
        <v>0</v>
      </c>
      <c r="J53" s="564">
        <v>0</v>
      </c>
      <c r="K53" s="567"/>
      <c r="L53" s="567"/>
      <c r="M53" s="567"/>
      <c r="N53" s="567"/>
      <c r="O53" s="567"/>
    </row>
    <row r="54" spans="1:15" s="568" customFormat="1" ht="45">
      <c r="A54" s="566" t="s">
        <v>135</v>
      </c>
      <c r="B54" s="199">
        <f t="shared" si="4"/>
        <v>144</v>
      </c>
      <c r="C54" s="563">
        <v>144</v>
      </c>
      <c r="D54" s="346">
        <v>0</v>
      </c>
      <c r="E54" s="561">
        <v>0</v>
      </c>
      <c r="F54" s="561">
        <v>0</v>
      </c>
      <c r="G54" s="438">
        <v>0</v>
      </c>
      <c r="H54" s="528">
        <v>0</v>
      </c>
      <c r="I54" s="561">
        <v>0</v>
      </c>
      <c r="J54" s="564">
        <v>0</v>
      </c>
      <c r="K54" s="567"/>
      <c r="L54" s="567"/>
      <c r="M54" s="567"/>
      <c r="N54" s="567"/>
      <c r="O54" s="567"/>
    </row>
    <row r="55" spans="1:15" s="568" customFormat="1" ht="51" customHeight="1">
      <c r="A55" s="565" t="s">
        <v>136</v>
      </c>
      <c r="B55" s="199">
        <f t="shared" si="4"/>
        <v>75</v>
      </c>
      <c r="C55" s="563">
        <f>29+21+25</f>
        <v>75</v>
      </c>
      <c r="D55" s="346">
        <v>0</v>
      </c>
      <c r="E55" s="561">
        <v>0</v>
      </c>
      <c r="F55" s="561">
        <v>0</v>
      </c>
      <c r="G55" s="438">
        <v>0</v>
      </c>
      <c r="H55" s="528">
        <v>0</v>
      </c>
      <c r="I55" s="561">
        <v>0</v>
      </c>
      <c r="J55" s="564">
        <v>0</v>
      </c>
      <c r="K55" s="567"/>
      <c r="L55" s="567"/>
      <c r="M55" s="567"/>
      <c r="N55" s="567"/>
      <c r="O55" s="567"/>
    </row>
    <row r="56" spans="1:15" s="568" customFormat="1" ht="30">
      <c r="A56" s="565" t="s">
        <v>137</v>
      </c>
      <c r="B56" s="199">
        <f t="shared" si="4"/>
        <v>1690</v>
      </c>
      <c r="C56" s="563">
        <f>544+312+834</f>
        <v>1690</v>
      </c>
      <c r="D56" s="346">
        <v>0</v>
      </c>
      <c r="E56" s="561">
        <v>0</v>
      </c>
      <c r="F56" s="561">
        <v>0</v>
      </c>
      <c r="G56" s="438">
        <v>0</v>
      </c>
      <c r="H56" s="528">
        <v>0</v>
      </c>
      <c r="I56" s="561">
        <v>0</v>
      </c>
      <c r="J56" s="564">
        <v>0</v>
      </c>
      <c r="K56" s="567"/>
      <c r="L56" s="567"/>
      <c r="M56" s="567"/>
      <c r="N56" s="567"/>
      <c r="O56" s="567"/>
    </row>
    <row r="57" spans="1:27" s="216" customFormat="1" ht="26.25" customHeight="1">
      <c r="A57" s="433" t="s">
        <v>342</v>
      </c>
      <c r="B57" s="396">
        <f>ROUND(C57+D57+G57+H57*2.9+J57*$L$1+I57*2.9,0)</f>
        <v>56515</v>
      </c>
      <c r="C57" s="421">
        <f>C58</f>
        <v>6890</v>
      </c>
      <c r="D57" s="421">
        <f>5071</f>
        <v>5071</v>
      </c>
      <c r="E57" s="490">
        <v>0</v>
      </c>
      <c r="F57" s="490">
        <v>0</v>
      </c>
      <c r="G57" s="422">
        <f>1802</f>
        <v>1802</v>
      </c>
      <c r="H57" s="422">
        <v>14742</v>
      </c>
      <c r="I57" s="561">
        <v>0</v>
      </c>
      <c r="J57" s="419">
        <v>0</v>
      </c>
      <c r="K57" s="215"/>
      <c r="L57" s="215"/>
      <c r="M57" s="215"/>
      <c r="N57" s="215"/>
      <c r="O57" s="215"/>
      <c r="T57" s="215"/>
      <c r="U57" s="215"/>
      <c r="V57" s="215"/>
      <c r="W57" s="215"/>
      <c r="X57" s="215"/>
      <c r="Y57" s="215"/>
      <c r="Z57" s="215"/>
      <c r="AA57" s="215"/>
    </row>
    <row r="58" spans="1:27" s="196" customFormat="1" ht="45" customHeight="1">
      <c r="A58" s="562" t="s">
        <v>566</v>
      </c>
      <c r="B58" s="199">
        <f aca="true" t="shared" si="5" ref="B58:B65">ROUND(C58+D58+G58+H58*2.9+J58*$L$1+I58,0)</f>
        <v>6890</v>
      </c>
      <c r="C58" s="569">
        <f>SUM(C63:C65)</f>
        <v>6890</v>
      </c>
      <c r="D58" s="346">
        <v>0</v>
      </c>
      <c r="E58" s="561">
        <v>0</v>
      </c>
      <c r="F58" s="561">
        <v>0</v>
      </c>
      <c r="G58" s="561">
        <v>0</v>
      </c>
      <c r="H58" s="346">
        <v>0</v>
      </c>
      <c r="I58" s="561">
        <v>0</v>
      </c>
      <c r="J58" s="564">
        <v>0</v>
      </c>
      <c r="K58" s="197"/>
      <c r="L58" s="197"/>
      <c r="M58" s="197"/>
      <c r="N58" s="197"/>
      <c r="O58" s="197"/>
      <c r="T58" s="197"/>
      <c r="U58" s="197"/>
      <c r="V58" s="197"/>
      <c r="W58" s="197"/>
      <c r="X58" s="197"/>
      <c r="Y58" s="197"/>
      <c r="Z58" s="197"/>
      <c r="AA58" s="197"/>
    </row>
    <row r="59" spans="1:27" s="196" customFormat="1" ht="47.25" customHeight="1">
      <c r="A59" s="565" t="s">
        <v>560</v>
      </c>
      <c r="B59" s="199">
        <f t="shared" si="5"/>
        <v>0</v>
      </c>
      <c r="C59" s="561">
        <v>0</v>
      </c>
      <c r="D59" s="346">
        <v>0</v>
      </c>
      <c r="E59" s="561">
        <v>0</v>
      </c>
      <c r="F59" s="561">
        <v>0</v>
      </c>
      <c r="G59" s="561">
        <v>0</v>
      </c>
      <c r="H59" s="346">
        <v>0</v>
      </c>
      <c r="I59" s="561">
        <v>0</v>
      </c>
      <c r="J59" s="564">
        <v>0</v>
      </c>
      <c r="K59" s="197"/>
      <c r="L59" s="197"/>
      <c r="M59" s="197"/>
      <c r="N59" s="197"/>
      <c r="O59" s="197"/>
      <c r="T59" s="197"/>
      <c r="U59" s="197"/>
      <c r="V59" s="197"/>
      <c r="W59" s="197"/>
      <c r="X59" s="197"/>
      <c r="Y59" s="197"/>
      <c r="Z59" s="197"/>
      <c r="AA59" s="197"/>
    </row>
    <row r="60" spans="1:27" s="196" customFormat="1" ht="30">
      <c r="A60" s="565" t="s">
        <v>519</v>
      </c>
      <c r="B60" s="199">
        <f t="shared" si="5"/>
        <v>0</v>
      </c>
      <c r="C60" s="561">
        <v>0</v>
      </c>
      <c r="D60" s="346">
        <v>0</v>
      </c>
      <c r="E60" s="561">
        <v>0</v>
      </c>
      <c r="F60" s="561">
        <v>0</v>
      </c>
      <c r="G60" s="561">
        <v>0</v>
      </c>
      <c r="H60" s="346">
        <v>0</v>
      </c>
      <c r="I60" s="561">
        <v>0</v>
      </c>
      <c r="J60" s="564">
        <v>0</v>
      </c>
      <c r="K60" s="197"/>
      <c r="L60" s="197"/>
      <c r="M60" s="197"/>
      <c r="N60" s="197"/>
      <c r="O60" s="197"/>
      <c r="T60" s="197"/>
      <c r="U60" s="197"/>
      <c r="V60" s="197"/>
      <c r="W60" s="197"/>
      <c r="X60" s="197"/>
      <c r="Y60" s="197"/>
      <c r="Z60" s="197"/>
      <c r="AA60" s="197"/>
    </row>
    <row r="61" spans="1:27" s="196" customFormat="1" ht="19.5" customHeight="1">
      <c r="A61" s="565" t="s">
        <v>520</v>
      </c>
      <c r="B61" s="199">
        <f t="shared" si="5"/>
        <v>0</v>
      </c>
      <c r="C61" s="561">
        <v>0</v>
      </c>
      <c r="D61" s="346">
        <v>0</v>
      </c>
      <c r="E61" s="561">
        <v>0</v>
      </c>
      <c r="F61" s="561">
        <v>0</v>
      </c>
      <c r="G61" s="561">
        <v>0</v>
      </c>
      <c r="H61" s="346">
        <v>0</v>
      </c>
      <c r="I61" s="561">
        <v>0</v>
      </c>
      <c r="J61" s="564">
        <v>0</v>
      </c>
      <c r="K61" s="197"/>
      <c r="L61" s="197"/>
      <c r="M61" s="197"/>
      <c r="N61" s="197"/>
      <c r="O61" s="197"/>
      <c r="T61" s="197"/>
      <c r="U61" s="197"/>
      <c r="V61" s="197"/>
      <c r="W61" s="197"/>
      <c r="X61" s="197"/>
      <c r="Y61" s="197"/>
      <c r="Z61" s="197"/>
      <c r="AA61" s="197"/>
    </row>
    <row r="62" spans="1:27" s="196" customFormat="1" ht="40.5" customHeight="1">
      <c r="A62" s="565" t="s">
        <v>521</v>
      </c>
      <c r="B62" s="199">
        <f t="shared" si="5"/>
        <v>0</v>
      </c>
      <c r="C62" s="561">
        <v>0</v>
      </c>
      <c r="D62" s="346">
        <v>0</v>
      </c>
      <c r="E62" s="561">
        <v>0</v>
      </c>
      <c r="F62" s="561">
        <v>0</v>
      </c>
      <c r="G62" s="561">
        <v>0</v>
      </c>
      <c r="H62" s="346">
        <v>0</v>
      </c>
      <c r="I62" s="561">
        <v>0</v>
      </c>
      <c r="J62" s="564">
        <v>0</v>
      </c>
      <c r="K62" s="197"/>
      <c r="L62" s="197"/>
      <c r="M62" s="197"/>
      <c r="N62" s="197"/>
      <c r="O62" s="197"/>
      <c r="T62" s="197"/>
      <c r="U62" s="197"/>
      <c r="V62" s="197"/>
      <c r="W62" s="197"/>
      <c r="X62" s="197"/>
      <c r="Y62" s="197"/>
      <c r="Z62" s="197"/>
      <c r="AA62" s="197"/>
    </row>
    <row r="63" spans="1:27" s="196" customFormat="1" ht="37.5" customHeight="1">
      <c r="A63" s="566" t="s">
        <v>135</v>
      </c>
      <c r="B63" s="199">
        <f t="shared" si="5"/>
        <v>144</v>
      </c>
      <c r="C63" s="569">
        <f>'1.1. ПРОФ.МЕРОПРИЯТИЯ (КП)'!C12</f>
        <v>144</v>
      </c>
      <c r="D63" s="346">
        <v>0</v>
      </c>
      <c r="E63" s="561">
        <v>0</v>
      </c>
      <c r="F63" s="561">
        <v>0</v>
      </c>
      <c r="G63" s="561">
        <v>0</v>
      </c>
      <c r="H63" s="346">
        <v>0</v>
      </c>
      <c r="I63" s="561">
        <v>0</v>
      </c>
      <c r="J63" s="564">
        <v>0</v>
      </c>
      <c r="K63" s="197"/>
      <c r="L63" s="197"/>
      <c r="M63" s="197"/>
      <c r="N63" s="197"/>
      <c r="O63" s="197"/>
      <c r="T63" s="197"/>
      <c r="U63" s="197"/>
      <c r="V63" s="197"/>
      <c r="W63" s="197"/>
      <c r="X63" s="197"/>
      <c r="Y63" s="197"/>
      <c r="Z63" s="197"/>
      <c r="AA63" s="197"/>
    </row>
    <row r="64" spans="1:27" s="196" customFormat="1" ht="29.25" customHeight="1">
      <c r="A64" s="565" t="s">
        <v>136</v>
      </c>
      <c r="B64" s="199">
        <f t="shared" si="5"/>
        <v>165</v>
      </c>
      <c r="C64" s="569">
        <f>'1.1. ПРОФ.МЕРОПРИЯТИЯ (КП)'!D12</f>
        <v>165</v>
      </c>
      <c r="D64" s="346">
        <v>0</v>
      </c>
      <c r="E64" s="561">
        <v>0</v>
      </c>
      <c r="F64" s="561">
        <v>0</v>
      </c>
      <c r="G64" s="561">
        <v>0</v>
      </c>
      <c r="H64" s="346">
        <v>0</v>
      </c>
      <c r="I64" s="561">
        <v>0</v>
      </c>
      <c r="J64" s="564">
        <v>0</v>
      </c>
      <c r="K64" s="197"/>
      <c r="L64" s="197"/>
      <c r="M64" s="197"/>
      <c r="N64" s="197"/>
      <c r="O64" s="197"/>
      <c r="T64" s="197"/>
      <c r="U64" s="197"/>
      <c r="V64" s="197"/>
      <c r="W64" s="197"/>
      <c r="X64" s="197"/>
      <c r="Y64" s="197"/>
      <c r="Z64" s="197"/>
      <c r="AA64" s="197"/>
    </row>
    <row r="65" spans="1:27" s="196" customFormat="1" ht="29.25" customHeight="1">
      <c r="A65" s="565" t="s">
        <v>137</v>
      </c>
      <c r="B65" s="199">
        <f t="shared" si="5"/>
        <v>6581</v>
      </c>
      <c r="C65" s="569">
        <f>'1.1. ПРОФ.МЕРОПРИЯТИЯ (КП)'!I12</f>
        <v>6581</v>
      </c>
      <c r="D65" s="346">
        <v>0</v>
      </c>
      <c r="E65" s="561">
        <v>0</v>
      </c>
      <c r="F65" s="561">
        <v>0</v>
      </c>
      <c r="G65" s="561">
        <v>0</v>
      </c>
      <c r="H65" s="346">
        <v>0</v>
      </c>
      <c r="I65" s="561">
        <v>0</v>
      </c>
      <c r="J65" s="564">
        <v>0</v>
      </c>
      <c r="K65" s="197"/>
      <c r="L65" s="197"/>
      <c r="M65" s="197"/>
      <c r="N65" s="197"/>
      <c r="O65" s="197"/>
      <c r="T65" s="197"/>
      <c r="U65" s="197"/>
      <c r="V65" s="197"/>
      <c r="W65" s="197"/>
      <c r="X65" s="197"/>
      <c r="Y65" s="197"/>
      <c r="Z65" s="197"/>
      <c r="AA65" s="197"/>
    </row>
    <row r="66" spans="1:27" s="216" customFormat="1" ht="21.75" customHeight="1">
      <c r="A66" s="430" t="s">
        <v>536</v>
      </c>
      <c r="B66" s="396">
        <f>ROUND(C66+D66+G66+H66*2.9+J66*$L$1+I66*2.9,0)</f>
        <v>41842</v>
      </c>
      <c r="C66" s="421">
        <f>C67</f>
        <v>6351</v>
      </c>
      <c r="D66" s="421">
        <f>3059+247+6391</f>
        <v>9697</v>
      </c>
      <c r="E66" s="490">
        <v>0</v>
      </c>
      <c r="F66" s="490">
        <v>0</v>
      </c>
      <c r="G66" s="422">
        <f>616+46+1074</f>
        <v>1736</v>
      </c>
      <c r="H66" s="422">
        <f>2597+205+5494</f>
        <v>8296</v>
      </c>
      <c r="I66" s="561">
        <v>0</v>
      </c>
      <c r="J66" s="419">
        <v>0</v>
      </c>
      <c r="K66" s="215"/>
      <c r="L66" s="435"/>
      <c r="M66" s="435"/>
      <c r="N66" s="435"/>
      <c r="O66" s="435"/>
      <c r="T66" s="215"/>
      <c r="U66" s="215"/>
      <c r="V66" s="215"/>
      <c r="W66" s="215"/>
      <c r="X66" s="215"/>
      <c r="Y66" s="215"/>
      <c r="Z66" s="215"/>
      <c r="AA66" s="215"/>
    </row>
    <row r="67" spans="1:27" s="196" customFormat="1" ht="49.5" customHeight="1">
      <c r="A67" s="562" t="s">
        <v>566</v>
      </c>
      <c r="B67" s="199">
        <f aca="true" t="shared" si="6" ref="B67:B74">ROUND(C67+D67+G67+H67*2.9+J67*$L$1+I67,0)</f>
        <v>6351</v>
      </c>
      <c r="C67" s="434">
        <f>SUM(C68:C74)</f>
        <v>6351</v>
      </c>
      <c r="D67" s="346">
        <v>0</v>
      </c>
      <c r="E67" s="561">
        <v>0</v>
      </c>
      <c r="F67" s="561">
        <v>0</v>
      </c>
      <c r="G67" s="561">
        <v>0</v>
      </c>
      <c r="H67" s="346">
        <v>0</v>
      </c>
      <c r="I67" s="561">
        <v>0</v>
      </c>
      <c r="J67" s="564">
        <v>0</v>
      </c>
      <c r="K67" s="197"/>
      <c r="L67" s="197"/>
      <c r="M67" s="197"/>
      <c r="N67" s="197"/>
      <c r="O67" s="197"/>
      <c r="T67" s="197"/>
      <c r="U67" s="197"/>
      <c r="V67" s="197"/>
      <c r="W67" s="197"/>
      <c r="X67" s="197"/>
      <c r="Y67" s="197"/>
      <c r="Z67" s="197"/>
      <c r="AA67" s="197"/>
    </row>
    <row r="68" spans="1:27" s="196" customFormat="1" ht="28.5" customHeight="1">
      <c r="A68" s="565" t="s">
        <v>560</v>
      </c>
      <c r="B68" s="199">
        <f t="shared" si="6"/>
        <v>0</v>
      </c>
      <c r="C68" s="561">
        <v>0</v>
      </c>
      <c r="D68" s="346">
        <v>0</v>
      </c>
      <c r="E68" s="561">
        <v>0</v>
      </c>
      <c r="F68" s="561">
        <v>0</v>
      </c>
      <c r="G68" s="561">
        <v>0</v>
      </c>
      <c r="H68" s="346">
        <v>0</v>
      </c>
      <c r="I68" s="561">
        <v>0</v>
      </c>
      <c r="J68" s="564">
        <v>0</v>
      </c>
      <c r="K68" s="197"/>
      <c r="L68" s="197"/>
      <c r="M68" s="197"/>
      <c r="N68" s="197"/>
      <c r="O68" s="197"/>
      <c r="T68" s="197"/>
      <c r="U68" s="197"/>
      <c r="V68" s="197"/>
      <c r="W68" s="197"/>
      <c r="X68" s="197"/>
      <c r="Y68" s="197"/>
      <c r="Z68" s="197"/>
      <c r="AA68" s="197"/>
    </row>
    <row r="69" spans="1:27" s="196" customFormat="1" ht="30.75" customHeight="1">
      <c r="A69" s="565" t="s">
        <v>519</v>
      </c>
      <c r="B69" s="199">
        <f t="shared" si="6"/>
        <v>0</v>
      </c>
      <c r="C69" s="561">
        <v>0</v>
      </c>
      <c r="D69" s="346">
        <v>0</v>
      </c>
      <c r="E69" s="561">
        <v>0</v>
      </c>
      <c r="F69" s="561">
        <v>0</v>
      </c>
      <c r="G69" s="561">
        <v>0</v>
      </c>
      <c r="H69" s="346">
        <v>0</v>
      </c>
      <c r="I69" s="561">
        <v>0</v>
      </c>
      <c r="J69" s="564">
        <v>0</v>
      </c>
      <c r="K69" s="197"/>
      <c r="L69" s="197"/>
      <c r="M69" s="197"/>
      <c r="N69" s="197"/>
      <c r="O69" s="197"/>
      <c r="T69" s="197"/>
      <c r="U69" s="197"/>
      <c r="V69" s="197"/>
      <c r="W69" s="197"/>
      <c r="X69" s="197"/>
      <c r="Y69" s="197"/>
      <c r="Z69" s="197"/>
      <c r="AA69" s="197"/>
    </row>
    <row r="70" spans="1:27" s="196" customFormat="1" ht="21.75" customHeight="1">
      <c r="A70" s="565" t="s">
        <v>520</v>
      </c>
      <c r="B70" s="199">
        <f t="shared" si="6"/>
        <v>0</v>
      </c>
      <c r="C70" s="561">
        <v>0</v>
      </c>
      <c r="D70" s="346">
        <v>0</v>
      </c>
      <c r="E70" s="561">
        <v>0</v>
      </c>
      <c r="F70" s="561">
        <v>0</v>
      </c>
      <c r="G70" s="561">
        <v>0</v>
      </c>
      <c r="H70" s="346">
        <v>0</v>
      </c>
      <c r="I70" s="561">
        <v>0</v>
      </c>
      <c r="J70" s="564">
        <v>0</v>
      </c>
      <c r="K70" s="197"/>
      <c r="L70" s="197"/>
      <c r="M70" s="197"/>
      <c r="N70" s="197"/>
      <c r="O70" s="197"/>
      <c r="T70" s="197"/>
      <c r="U70" s="197"/>
      <c r="V70" s="197"/>
      <c r="W70" s="197"/>
      <c r="X70" s="197"/>
      <c r="Y70" s="197"/>
      <c r="Z70" s="197"/>
      <c r="AA70" s="197"/>
    </row>
    <row r="71" spans="1:27" s="196" customFormat="1" ht="28.5" customHeight="1">
      <c r="A71" s="565" t="s">
        <v>521</v>
      </c>
      <c r="B71" s="199">
        <f t="shared" si="6"/>
        <v>0</v>
      </c>
      <c r="C71" s="561">
        <v>0</v>
      </c>
      <c r="D71" s="346">
        <v>0</v>
      </c>
      <c r="E71" s="561">
        <v>0</v>
      </c>
      <c r="F71" s="561">
        <v>0</v>
      </c>
      <c r="G71" s="561">
        <v>0</v>
      </c>
      <c r="H71" s="346">
        <v>0</v>
      </c>
      <c r="I71" s="561">
        <v>0</v>
      </c>
      <c r="J71" s="564">
        <v>0</v>
      </c>
      <c r="K71" s="197"/>
      <c r="L71" s="197"/>
      <c r="M71" s="197"/>
      <c r="N71" s="197"/>
      <c r="O71" s="197"/>
      <c r="T71" s="197"/>
      <c r="U71" s="197"/>
      <c r="V71" s="197"/>
      <c r="W71" s="197"/>
      <c r="X71" s="197"/>
      <c r="Y71" s="197"/>
      <c r="Z71" s="197"/>
      <c r="AA71" s="197"/>
    </row>
    <row r="72" spans="1:27" s="196" customFormat="1" ht="28.5" customHeight="1">
      <c r="A72" s="566" t="s">
        <v>135</v>
      </c>
      <c r="B72" s="199">
        <f t="shared" si="6"/>
        <v>143</v>
      </c>
      <c r="C72" s="434">
        <f>143</f>
        <v>143</v>
      </c>
      <c r="D72" s="346">
        <v>0</v>
      </c>
      <c r="E72" s="561">
        <v>0</v>
      </c>
      <c r="F72" s="561">
        <v>0</v>
      </c>
      <c r="G72" s="561">
        <v>0</v>
      </c>
      <c r="H72" s="346">
        <v>0</v>
      </c>
      <c r="I72" s="561">
        <v>0</v>
      </c>
      <c r="J72" s="564">
        <v>0</v>
      </c>
      <c r="K72" s="197"/>
      <c r="L72" s="197"/>
      <c r="M72" s="197"/>
      <c r="N72" s="197"/>
      <c r="O72" s="197"/>
      <c r="T72" s="197"/>
      <c r="U72" s="197"/>
      <c r="V72" s="197"/>
      <c r="W72" s="197"/>
      <c r="X72" s="197"/>
      <c r="Y72" s="197"/>
      <c r="Z72" s="197"/>
      <c r="AA72" s="197"/>
    </row>
    <row r="73" spans="1:27" s="196" customFormat="1" ht="28.5" customHeight="1">
      <c r="A73" s="565" t="s">
        <v>136</v>
      </c>
      <c r="B73" s="199">
        <f t="shared" si="6"/>
        <v>164</v>
      </c>
      <c r="C73" s="434">
        <f>126+28+10</f>
        <v>164</v>
      </c>
      <c r="D73" s="346">
        <v>0</v>
      </c>
      <c r="E73" s="561">
        <v>0</v>
      </c>
      <c r="F73" s="561">
        <v>0</v>
      </c>
      <c r="G73" s="561">
        <v>0</v>
      </c>
      <c r="H73" s="346">
        <v>0</v>
      </c>
      <c r="I73" s="561">
        <v>0</v>
      </c>
      <c r="J73" s="564">
        <v>0</v>
      </c>
      <c r="K73" s="197"/>
      <c r="L73" s="197"/>
      <c r="M73" s="197"/>
      <c r="N73" s="197"/>
      <c r="O73" s="197"/>
      <c r="T73" s="197"/>
      <c r="U73" s="197"/>
      <c r="V73" s="197"/>
      <c r="W73" s="197"/>
      <c r="X73" s="197"/>
      <c r="Y73" s="197"/>
      <c r="Z73" s="197"/>
      <c r="AA73" s="197"/>
    </row>
    <row r="74" spans="1:27" s="196" customFormat="1" ht="28.5" customHeight="1">
      <c r="A74" s="565" t="s">
        <v>137</v>
      </c>
      <c r="B74" s="199">
        <f t="shared" si="6"/>
        <v>6044</v>
      </c>
      <c r="C74" s="434">
        <f>4172+1031+841</f>
        <v>6044</v>
      </c>
      <c r="D74" s="346">
        <v>0</v>
      </c>
      <c r="E74" s="561">
        <v>0</v>
      </c>
      <c r="F74" s="561">
        <v>0</v>
      </c>
      <c r="G74" s="561">
        <v>0</v>
      </c>
      <c r="H74" s="346">
        <v>0</v>
      </c>
      <c r="I74" s="561">
        <v>0</v>
      </c>
      <c r="J74" s="564">
        <v>0</v>
      </c>
      <c r="K74" s="197"/>
      <c r="L74" s="197"/>
      <c r="M74" s="197"/>
      <c r="N74" s="197"/>
      <c r="O74" s="197"/>
      <c r="T74" s="197"/>
      <c r="U74" s="197"/>
      <c r="V74" s="197"/>
      <c r="W74" s="197"/>
      <c r="X74" s="197"/>
      <c r="Y74" s="197"/>
      <c r="Z74" s="197"/>
      <c r="AA74" s="197"/>
    </row>
    <row r="75" spans="1:27" s="216" customFormat="1" ht="48" customHeight="1">
      <c r="A75" s="430" t="s">
        <v>443</v>
      </c>
      <c r="B75" s="396">
        <f>ROUND(C75+D75+G75+H75*2.9+J75*$L$1+I75*2.9,0)</f>
        <v>3590</v>
      </c>
      <c r="C75" s="416">
        <v>0</v>
      </c>
      <c r="D75" s="421">
        <v>1850</v>
      </c>
      <c r="E75" s="490">
        <v>0</v>
      </c>
      <c r="F75" s="490">
        <v>0</v>
      </c>
      <c r="G75" s="422">
        <v>406</v>
      </c>
      <c r="H75" s="422">
        <v>460</v>
      </c>
      <c r="I75" s="561">
        <v>0</v>
      </c>
      <c r="J75" s="419">
        <v>0</v>
      </c>
      <c r="K75" s="215"/>
      <c r="L75" s="215"/>
      <c r="M75" s="215"/>
      <c r="N75" s="215"/>
      <c r="O75" s="215"/>
      <c r="T75" s="215"/>
      <c r="U75" s="215"/>
      <c r="V75" s="215"/>
      <c r="W75" s="215"/>
      <c r="X75" s="215"/>
      <c r="Y75" s="215"/>
      <c r="Z75" s="215"/>
      <c r="AA75" s="215"/>
    </row>
    <row r="76" spans="1:27" s="216" customFormat="1" ht="21.75" customHeight="1">
      <c r="A76" s="433" t="s">
        <v>343</v>
      </c>
      <c r="B76" s="396">
        <f>ROUND(C76+D76+G76+H76*2.9+J76*$L$1+I76*2.9,0)</f>
        <v>82589</v>
      </c>
      <c r="C76" s="421">
        <f>C77</f>
        <v>19530</v>
      </c>
      <c r="D76" s="421">
        <f>3421</f>
        <v>3421</v>
      </c>
      <c r="E76" s="490">
        <v>0</v>
      </c>
      <c r="F76" s="490">
        <v>0</v>
      </c>
      <c r="G76" s="422">
        <f>2081</f>
        <v>2081</v>
      </c>
      <c r="H76" s="422">
        <v>17596</v>
      </c>
      <c r="I76" s="561">
        <v>0</v>
      </c>
      <c r="J76" s="423">
        <f>'1.2. Диспансерное наблюдение'!$E$49</f>
        <v>6529</v>
      </c>
      <c r="K76" s="215"/>
      <c r="L76" s="215"/>
      <c r="M76" s="215"/>
      <c r="N76" s="215"/>
      <c r="O76" s="215"/>
      <c r="T76" s="215"/>
      <c r="U76" s="215"/>
      <c r="V76" s="215"/>
      <c r="W76" s="215"/>
      <c r="X76" s="215"/>
      <c r="Y76" s="215"/>
      <c r="Z76" s="215"/>
      <c r="AA76" s="215"/>
    </row>
    <row r="77" spans="1:27" s="196" customFormat="1" ht="56.25" customHeight="1">
      <c r="A77" s="562" t="s">
        <v>566</v>
      </c>
      <c r="B77" s="199">
        <f aca="true" t="shared" si="7" ref="B77:B104">ROUND(C77+D77+G77+H77*2.9+J77*$L$1+I77,0)</f>
        <v>19530</v>
      </c>
      <c r="C77" s="563">
        <f>C78+C81</f>
        <v>19530</v>
      </c>
      <c r="D77" s="346">
        <v>0</v>
      </c>
      <c r="E77" s="561">
        <v>0</v>
      </c>
      <c r="F77" s="561">
        <v>0</v>
      </c>
      <c r="G77" s="561">
        <v>0</v>
      </c>
      <c r="H77" s="346">
        <v>0</v>
      </c>
      <c r="I77" s="561">
        <v>0</v>
      </c>
      <c r="J77" s="564">
        <v>0</v>
      </c>
      <c r="K77" s="197"/>
      <c r="L77" s="197"/>
      <c r="M77" s="197"/>
      <c r="N77" s="197"/>
      <c r="O77" s="197"/>
      <c r="T77" s="197"/>
      <c r="U77" s="197"/>
      <c r="V77" s="197"/>
      <c r="W77" s="197"/>
      <c r="X77" s="197"/>
      <c r="Y77" s="197"/>
      <c r="Z77" s="197"/>
      <c r="AA77" s="197"/>
    </row>
    <row r="78" spans="1:27" s="196" customFormat="1" ht="48" customHeight="1">
      <c r="A78" s="565" t="s">
        <v>560</v>
      </c>
      <c r="B78" s="199">
        <f t="shared" si="7"/>
        <v>14971</v>
      </c>
      <c r="C78" s="563">
        <f>'1.1. ПРОФ.МЕРОПРИЯТИЯ (КП)'!E12</f>
        <v>14971</v>
      </c>
      <c r="D78" s="346">
        <v>0</v>
      </c>
      <c r="E78" s="561">
        <v>0</v>
      </c>
      <c r="F78" s="561">
        <v>0</v>
      </c>
      <c r="G78" s="561">
        <v>0</v>
      </c>
      <c r="H78" s="346">
        <v>0</v>
      </c>
      <c r="I78" s="561">
        <v>0</v>
      </c>
      <c r="J78" s="564">
        <v>0</v>
      </c>
      <c r="K78" s="197"/>
      <c r="L78" s="197"/>
      <c r="M78" s="197"/>
      <c r="N78" s="197"/>
      <c r="O78" s="197"/>
      <c r="T78" s="197"/>
      <c r="U78" s="197"/>
      <c r="V78" s="197"/>
      <c r="W78" s="197"/>
      <c r="X78" s="197"/>
      <c r="Y78" s="197"/>
      <c r="Z78" s="197"/>
      <c r="AA78" s="197"/>
    </row>
    <row r="79" spans="1:27" s="196" customFormat="1" ht="30" customHeight="1">
      <c r="A79" s="565" t="s">
        <v>519</v>
      </c>
      <c r="B79" s="199">
        <f t="shared" si="7"/>
        <v>1976</v>
      </c>
      <c r="C79" s="563">
        <f>'1.1. ПРОФ.МЕРОПРИЯТИЯ (КП)'!F12</f>
        <v>1976</v>
      </c>
      <c r="D79" s="346">
        <v>0</v>
      </c>
      <c r="E79" s="561">
        <v>0</v>
      </c>
      <c r="F79" s="561">
        <v>0</v>
      </c>
      <c r="G79" s="561">
        <v>0</v>
      </c>
      <c r="H79" s="346">
        <v>0</v>
      </c>
      <c r="I79" s="561">
        <v>0</v>
      </c>
      <c r="J79" s="564">
        <v>0</v>
      </c>
      <c r="K79" s="197"/>
      <c r="L79" s="197"/>
      <c r="M79" s="197"/>
      <c r="N79" s="197"/>
      <c r="O79" s="197"/>
      <c r="T79" s="197"/>
      <c r="U79" s="197"/>
      <c r="V79" s="197"/>
      <c r="W79" s="197"/>
      <c r="X79" s="197"/>
      <c r="Y79" s="197"/>
      <c r="Z79" s="197"/>
      <c r="AA79" s="197"/>
    </row>
    <row r="80" spans="1:27" s="196" customFormat="1" ht="19.5" customHeight="1">
      <c r="A80" s="565" t="s">
        <v>520</v>
      </c>
      <c r="B80" s="199">
        <f t="shared" si="7"/>
        <v>0</v>
      </c>
      <c r="C80" s="563">
        <v>0</v>
      </c>
      <c r="D80" s="346">
        <v>0</v>
      </c>
      <c r="E80" s="561">
        <v>0</v>
      </c>
      <c r="F80" s="561">
        <v>0</v>
      </c>
      <c r="G80" s="561">
        <v>0</v>
      </c>
      <c r="H80" s="346">
        <v>0</v>
      </c>
      <c r="I80" s="561">
        <v>0</v>
      </c>
      <c r="J80" s="564">
        <v>0</v>
      </c>
      <c r="K80" s="197"/>
      <c r="L80" s="197"/>
      <c r="M80" s="197"/>
      <c r="N80" s="197"/>
      <c r="O80" s="197"/>
      <c r="T80" s="197"/>
      <c r="U80" s="197"/>
      <c r="V80" s="197"/>
      <c r="W80" s="197"/>
      <c r="X80" s="197"/>
      <c r="Y80" s="197"/>
      <c r="Z80" s="197"/>
      <c r="AA80" s="197"/>
    </row>
    <row r="81" spans="1:27" s="196" customFormat="1" ht="30" customHeight="1">
      <c r="A81" s="565" t="s">
        <v>521</v>
      </c>
      <c r="B81" s="199">
        <f t="shared" si="7"/>
        <v>4559</v>
      </c>
      <c r="C81" s="563">
        <f>'1.1. ПРОФ.МЕРОПРИЯТИЯ (КП)'!J12</f>
        <v>4559</v>
      </c>
      <c r="D81" s="346">
        <v>0</v>
      </c>
      <c r="E81" s="561">
        <v>0</v>
      </c>
      <c r="F81" s="561">
        <v>0</v>
      </c>
      <c r="G81" s="561">
        <v>0</v>
      </c>
      <c r="H81" s="346">
        <v>0</v>
      </c>
      <c r="I81" s="561">
        <v>0</v>
      </c>
      <c r="J81" s="564">
        <v>0</v>
      </c>
      <c r="K81" s="197"/>
      <c r="L81" s="197"/>
      <c r="M81" s="197"/>
      <c r="N81" s="197"/>
      <c r="O81" s="197"/>
      <c r="T81" s="197"/>
      <c r="U81" s="197"/>
      <c r="V81" s="197"/>
      <c r="W81" s="197"/>
      <c r="X81" s="197"/>
      <c r="Y81" s="197"/>
      <c r="Z81" s="197"/>
      <c r="AA81" s="197"/>
    </row>
    <row r="82" spans="1:27" s="196" customFormat="1" ht="30" customHeight="1">
      <c r="A82" s="566" t="s">
        <v>135</v>
      </c>
      <c r="B82" s="199">
        <f t="shared" si="7"/>
        <v>0</v>
      </c>
      <c r="C82" s="561">
        <v>0</v>
      </c>
      <c r="D82" s="346">
        <v>0</v>
      </c>
      <c r="E82" s="561">
        <v>0</v>
      </c>
      <c r="F82" s="561">
        <v>0</v>
      </c>
      <c r="G82" s="561">
        <v>0</v>
      </c>
      <c r="H82" s="346">
        <v>0</v>
      </c>
      <c r="I82" s="561">
        <v>0</v>
      </c>
      <c r="J82" s="564">
        <v>0</v>
      </c>
      <c r="K82" s="197"/>
      <c r="L82" s="197"/>
      <c r="M82" s="197"/>
      <c r="N82" s="197"/>
      <c r="O82" s="197"/>
      <c r="T82" s="197"/>
      <c r="U82" s="197"/>
      <c r="V82" s="197"/>
      <c r="W82" s="197"/>
      <c r="X82" s="197"/>
      <c r="Y82" s="197"/>
      <c r="Z82" s="197"/>
      <c r="AA82" s="197"/>
    </row>
    <row r="83" spans="1:27" s="196" customFormat="1" ht="42.75" customHeight="1">
      <c r="A83" s="565" t="s">
        <v>136</v>
      </c>
      <c r="B83" s="199">
        <f t="shared" si="7"/>
        <v>0</v>
      </c>
      <c r="C83" s="561">
        <v>0</v>
      </c>
      <c r="D83" s="346">
        <v>0</v>
      </c>
      <c r="E83" s="561">
        <v>0</v>
      </c>
      <c r="F83" s="561">
        <v>0</v>
      </c>
      <c r="G83" s="561">
        <v>0</v>
      </c>
      <c r="H83" s="346">
        <v>0</v>
      </c>
      <c r="I83" s="561">
        <v>0</v>
      </c>
      <c r="J83" s="564">
        <v>0</v>
      </c>
      <c r="K83" s="197"/>
      <c r="L83" s="197"/>
      <c r="M83" s="197"/>
      <c r="N83" s="197"/>
      <c r="O83" s="197"/>
      <c r="T83" s="197"/>
      <c r="U83" s="197"/>
      <c r="V83" s="197"/>
      <c r="W83" s="197"/>
      <c r="X83" s="197"/>
      <c r="Y83" s="197"/>
      <c r="Z83" s="197"/>
      <c r="AA83" s="197"/>
    </row>
    <row r="84" spans="1:27" s="196" customFormat="1" ht="30.75" customHeight="1">
      <c r="A84" s="565" t="s">
        <v>137</v>
      </c>
      <c r="B84" s="199">
        <f t="shared" si="7"/>
        <v>0</v>
      </c>
      <c r="C84" s="561">
        <v>0</v>
      </c>
      <c r="D84" s="346">
        <v>0</v>
      </c>
      <c r="E84" s="561">
        <v>0</v>
      </c>
      <c r="F84" s="561">
        <v>0</v>
      </c>
      <c r="G84" s="561">
        <v>0</v>
      </c>
      <c r="H84" s="346">
        <v>0</v>
      </c>
      <c r="I84" s="561">
        <v>0</v>
      </c>
      <c r="J84" s="564">
        <v>0</v>
      </c>
      <c r="K84" s="197"/>
      <c r="L84" s="197"/>
      <c r="M84" s="197"/>
      <c r="N84" s="197"/>
      <c r="O84" s="197"/>
      <c r="T84" s="197"/>
      <c r="U84" s="197"/>
      <c r="V84" s="197"/>
      <c r="W84" s="197"/>
      <c r="X84" s="197"/>
      <c r="Y84" s="197"/>
      <c r="Z84" s="197"/>
      <c r="AA84" s="197"/>
    </row>
    <row r="85" spans="1:27" s="216" customFormat="1" ht="30.75" customHeight="1">
      <c r="A85" s="433" t="s">
        <v>523</v>
      </c>
      <c r="B85" s="396">
        <f>ROUND(C85+D85+G85+H85*2.9+J85*$L$1+I85*2.9,0)</f>
        <v>3457</v>
      </c>
      <c r="C85" s="421">
        <f>C86</f>
        <v>431</v>
      </c>
      <c r="D85" s="421">
        <f>842</f>
        <v>842</v>
      </c>
      <c r="E85" s="490">
        <v>500</v>
      </c>
      <c r="F85" s="490">
        <v>0</v>
      </c>
      <c r="G85" s="422">
        <f>81+0</f>
        <v>81</v>
      </c>
      <c r="H85" s="422">
        <f>722</f>
        <v>722</v>
      </c>
      <c r="I85" s="561">
        <v>0</v>
      </c>
      <c r="J85" s="423">
        <f>'1.2. Диспансерное наблюдение'!$E$54</f>
        <v>9</v>
      </c>
      <c r="K85" s="215"/>
      <c r="L85" s="215"/>
      <c r="M85" s="215"/>
      <c r="N85" s="215"/>
      <c r="O85" s="215"/>
      <c r="T85" s="215"/>
      <c r="U85" s="215"/>
      <c r="V85" s="215"/>
      <c r="W85" s="215"/>
      <c r="X85" s="215"/>
      <c r="Y85" s="215"/>
      <c r="Z85" s="215"/>
      <c r="AA85" s="215"/>
    </row>
    <row r="86" spans="1:27" s="196" customFormat="1" ht="51.75" customHeight="1">
      <c r="A86" s="562" t="s">
        <v>566</v>
      </c>
      <c r="B86" s="199">
        <f t="shared" si="7"/>
        <v>431</v>
      </c>
      <c r="C86" s="563">
        <f>SUM(C87:C93)</f>
        <v>431</v>
      </c>
      <c r="D86" s="346">
        <v>0</v>
      </c>
      <c r="E86" s="561">
        <v>0</v>
      </c>
      <c r="F86" s="561">
        <v>0</v>
      </c>
      <c r="G86" s="561">
        <v>0</v>
      </c>
      <c r="H86" s="346">
        <v>0</v>
      </c>
      <c r="I86" s="561">
        <v>0</v>
      </c>
      <c r="J86" s="564">
        <v>0</v>
      </c>
      <c r="K86" s="197"/>
      <c r="L86" s="197"/>
      <c r="M86" s="197"/>
      <c r="N86" s="197"/>
      <c r="O86" s="197"/>
      <c r="T86" s="197"/>
      <c r="U86" s="197"/>
      <c r="V86" s="197"/>
      <c r="W86" s="197"/>
      <c r="X86" s="197"/>
      <c r="Y86" s="197"/>
      <c r="Z86" s="197"/>
      <c r="AA86" s="197"/>
    </row>
    <row r="87" spans="1:27" s="196" customFormat="1" ht="51" customHeight="1">
      <c r="A87" s="565" t="s">
        <v>560</v>
      </c>
      <c r="B87" s="199">
        <f t="shared" si="7"/>
        <v>0</v>
      </c>
      <c r="C87" s="561">
        <v>0</v>
      </c>
      <c r="D87" s="346">
        <v>0</v>
      </c>
      <c r="E87" s="561">
        <v>0</v>
      </c>
      <c r="F87" s="561">
        <v>0</v>
      </c>
      <c r="G87" s="561">
        <v>0</v>
      </c>
      <c r="H87" s="346">
        <v>0</v>
      </c>
      <c r="I87" s="561">
        <v>0</v>
      </c>
      <c r="J87" s="564">
        <v>0</v>
      </c>
      <c r="K87" s="197"/>
      <c r="L87" s="197"/>
      <c r="M87" s="197"/>
      <c r="N87" s="197"/>
      <c r="O87" s="197"/>
      <c r="T87" s="197"/>
      <c r="U87" s="197"/>
      <c r="V87" s="197"/>
      <c r="W87" s="197"/>
      <c r="X87" s="197"/>
      <c r="Y87" s="197"/>
      <c r="Z87" s="197"/>
      <c r="AA87" s="197"/>
    </row>
    <row r="88" spans="1:27" s="196" customFormat="1" ht="27" customHeight="1">
      <c r="A88" s="565" t="s">
        <v>519</v>
      </c>
      <c r="B88" s="199">
        <f t="shared" si="7"/>
        <v>0</v>
      </c>
      <c r="C88" s="561">
        <v>0</v>
      </c>
      <c r="D88" s="346">
        <v>0</v>
      </c>
      <c r="E88" s="561">
        <v>0</v>
      </c>
      <c r="F88" s="561">
        <v>0</v>
      </c>
      <c r="G88" s="561">
        <v>0</v>
      </c>
      <c r="H88" s="346">
        <v>0</v>
      </c>
      <c r="I88" s="561">
        <v>0</v>
      </c>
      <c r="J88" s="564">
        <v>0</v>
      </c>
      <c r="K88" s="197"/>
      <c r="L88" s="197"/>
      <c r="M88" s="197"/>
      <c r="N88" s="197"/>
      <c r="O88" s="197"/>
      <c r="T88" s="197"/>
      <c r="U88" s="197"/>
      <c r="V88" s="197"/>
      <c r="W88" s="197"/>
      <c r="X88" s="197"/>
      <c r="Y88" s="197"/>
      <c r="Z88" s="197"/>
      <c r="AA88" s="197"/>
    </row>
    <row r="89" spans="1:27" s="196" customFormat="1" ht="27" customHeight="1">
      <c r="A89" s="565" t="s">
        <v>520</v>
      </c>
      <c r="B89" s="199">
        <f t="shared" si="7"/>
        <v>0</v>
      </c>
      <c r="C89" s="561">
        <v>0</v>
      </c>
      <c r="D89" s="346">
        <v>0</v>
      </c>
      <c r="E89" s="561">
        <v>0</v>
      </c>
      <c r="F89" s="561">
        <v>0</v>
      </c>
      <c r="G89" s="561">
        <v>0</v>
      </c>
      <c r="H89" s="346">
        <v>0</v>
      </c>
      <c r="I89" s="561">
        <v>0</v>
      </c>
      <c r="J89" s="564">
        <v>0</v>
      </c>
      <c r="K89" s="197"/>
      <c r="L89" s="197"/>
      <c r="M89" s="197"/>
      <c r="N89" s="197"/>
      <c r="O89" s="197"/>
      <c r="T89" s="197"/>
      <c r="U89" s="197"/>
      <c r="V89" s="197"/>
      <c r="W89" s="197"/>
      <c r="X89" s="197"/>
      <c r="Y89" s="197"/>
      <c r="Z89" s="197"/>
      <c r="AA89" s="197"/>
    </row>
    <row r="90" spans="1:27" s="196" customFormat="1" ht="30" customHeight="1">
      <c r="A90" s="565" t="s">
        <v>521</v>
      </c>
      <c r="B90" s="199">
        <f t="shared" si="7"/>
        <v>0</v>
      </c>
      <c r="C90" s="561">
        <v>0</v>
      </c>
      <c r="D90" s="346">
        <v>0</v>
      </c>
      <c r="E90" s="561">
        <v>0</v>
      </c>
      <c r="F90" s="561">
        <v>0</v>
      </c>
      <c r="G90" s="561">
        <v>0</v>
      </c>
      <c r="H90" s="346">
        <v>0</v>
      </c>
      <c r="I90" s="561">
        <v>0</v>
      </c>
      <c r="J90" s="564">
        <v>0</v>
      </c>
      <c r="K90" s="197"/>
      <c r="L90" s="197"/>
      <c r="M90" s="197"/>
      <c r="N90" s="197"/>
      <c r="O90" s="197"/>
      <c r="T90" s="197"/>
      <c r="U90" s="197"/>
      <c r="V90" s="197"/>
      <c r="W90" s="197"/>
      <c r="X90" s="197"/>
      <c r="Y90" s="197"/>
      <c r="Z90" s="197"/>
      <c r="AA90" s="197"/>
    </row>
    <row r="91" spans="1:27" s="196" customFormat="1" ht="30" customHeight="1">
      <c r="A91" s="566" t="s">
        <v>135</v>
      </c>
      <c r="B91" s="199">
        <f t="shared" si="7"/>
        <v>0</v>
      </c>
      <c r="C91" s="561">
        <v>0</v>
      </c>
      <c r="D91" s="346">
        <v>0</v>
      </c>
      <c r="E91" s="561">
        <v>0</v>
      </c>
      <c r="F91" s="561">
        <v>0</v>
      </c>
      <c r="G91" s="561">
        <v>0</v>
      </c>
      <c r="H91" s="346">
        <v>0</v>
      </c>
      <c r="I91" s="561">
        <v>0</v>
      </c>
      <c r="J91" s="564">
        <v>0</v>
      </c>
      <c r="K91" s="197"/>
      <c r="L91" s="197"/>
      <c r="M91" s="197"/>
      <c r="N91" s="197"/>
      <c r="O91" s="197"/>
      <c r="T91" s="197"/>
      <c r="U91" s="197"/>
      <c r="V91" s="197"/>
      <c r="W91" s="197"/>
      <c r="X91" s="197"/>
      <c r="Y91" s="197"/>
      <c r="Z91" s="197"/>
      <c r="AA91" s="197"/>
    </row>
    <row r="92" spans="1:27" s="196" customFormat="1" ht="45" customHeight="1">
      <c r="A92" s="565" t="s">
        <v>136</v>
      </c>
      <c r="B92" s="199">
        <f t="shared" si="7"/>
        <v>29</v>
      </c>
      <c r="C92" s="563">
        <v>29</v>
      </c>
      <c r="D92" s="346">
        <v>0</v>
      </c>
      <c r="E92" s="561">
        <v>0</v>
      </c>
      <c r="F92" s="561">
        <v>0</v>
      </c>
      <c r="G92" s="561">
        <v>0</v>
      </c>
      <c r="H92" s="346">
        <v>0</v>
      </c>
      <c r="I92" s="561">
        <v>0</v>
      </c>
      <c r="J92" s="564">
        <v>0</v>
      </c>
      <c r="K92" s="197"/>
      <c r="L92" s="197"/>
      <c r="M92" s="197"/>
      <c r="N92" s="197"/>
      <c r="O92" s="197"/>
      <c r="T92" s="197"/>
      <c r="U92" s="197"/>
      <c r="V92" s="197"/>
      <c r="W92" s="197"/>
      <c r="X92" s="197"/>
      <c r="Y92" s="197"/>
      <c r="Z92" s="197"/>
      <c r="AA92" s="197"/>
    </row>
    <row r="93" spans="1:27" s="196" customFormat="1" ht="30.75" customHeight="1">
      <c r="A93" s="565" t="s">
        <v>137</v>
      </c>
      <c r="B93" s="199">
        <f t="shared" si="7"/>
        <v>402</v>
      </c>
      <c r="C93" s="563">
        <v>402</v>
      </c>
      <c r="D93" s="346">
        <v>0</v>
      </c>
      <c r="E93" s="561">
        <v>0</v>
      </c>
      <c r="F93" s="561">
        <v>0</v>
      </c>
      <c r="G93" s="561">
        <v>0</v>
      </c>
      <c r="H93" s="346">
        <v>0</v>
      </c>
      <c r="I93" s="561">
        <v>0</v>
      </c>
      <c r="J93" s="564">
        <v>0</v>
      </c>
      <c r="K93" s="197"/>
      <c r="L93" s="197"/>
      <c r="M93" s="197"/>
      <c r="N93" s="197"/>
      <c r="O93" s="197"/>
      <c r="T93" s="197"/>
      <c r="U93" s="197"/>
      <c r="V93" s="197"/>
      <c r="W93" s="197"/>
      <c r="X93" s="197"/>
      <c r="Y93" s="197"/>
      <c r="Z93" s="197"/>
      <c r="AA93" s="197"/>
    </row>
    <row r="94" spans="1:27" s="216" customFormat="1" ht="22.5" customHeight="1">
      <c r="A94" s="433" t="s">
        <v>524</v>
      </c>
      <c r="B94" s="396">
        <f>ROUND(C94+D94+G94+H94*2.9+J94*$L$1+I94*2.9,0)</f>
        <v>3976</v>
      </c>
      <c r="C94" s="421">
        <f>C95</f>
        <v>136</v>
      </c>
      <c r="D94" s="421">
        <f>972</f>
        <v>972</v>
      </c>
      <c r="E94" s="490">
        <v>700</v>
      </c>
      <c r="F94" s="490">
        <f>F95</f>
        <v>0</v>
      </c>
      <c r="G94" s="422">
        <f>65</f>
        <v>65</v>
      </c>
      <c r="H94" s="422">
        <v>954</v>
      </c>
      <c r="I94" s="561">
        <v>0</v>
      </c>
      <c r="J94" s="423">
        <f>'1.2. Диспансерное наблюдение'!E59</f>
        <v>36</v>
      </c>
      <c r="K94" s="215"/>
      <c r="L94" s="215"/>
      <c r="M94" s="215"/>
      <c r="N94" s="215"/>
      <c r="O94" s="215"/>
      <c r="T94" s="215"/>
      <c r="U94" s="215"/>
      <c r="V94" s="215"/>
      <c r="W94" s="215"/>
      <c r="X94" s="215"/>
      <c r="Y94" s="215"/>
      <c r="Z94" s="215"/>
      <c r="AA94" s="215"/>
    </row>
    <row r="95" spans="1:27" s="196" customFormat="1" ht="52.5" customHeight="1">
      <c r="A95" s="562" t="s">
        <v>566</v>
      </c>
      <c r="B95" s="199">
        <f t="shared" si="7"/>
        <v>136</v>
      </c>
      <c r="C95" s="563">
        <f>C96+C99</f>
        <v>136</v>
      </c>
      <c r="D95" s="346">
        <v>0</v>
      </c>
      <c r="E95" s="561">
        <v>0</v>
      </c>
      <c r="F95" s="563">
        <f>F96+F99</f>
        <v>0</v>
      </c>
      <c r="G95" s="561">
        <v>0</v>
      </c>
      <c r="H95" s="346">
        <v>0</v>
      </c>
      <c r="I95" s="561">
        <v>0</v>
      </c>
      <c r="J95" s="564">
        <v>0</v>
      </c>
      <c r="K95" s="197"/>
      <c r="L95" s="197"/>
      <c r="M95" s="197"/>
      <c r="N95" s="197"/>
      <c r="O95" s="197"/>
      <c r="T95" s="197"/>
      <c r="U95" s="197"/>
      <c r="V95" s="197"/>
      <c r="W95" s="197"/>
      <c r="X95" s="197"/>
      <c r="Y95" s="197"/>
      <c r="Z95" s="197"/>
      <c r="AA95" s="197"/>
    </row>
    <row r="96" spans="1:27" s="196" customFormat="1" ht="45" customHeight="1">
      <c r="A96" s="565" t="s">
        <v>560</v>
      </c>
      <c r="B96" s="199">
        <f t="shared" si="7"/>
        <v>136</v>
      </c>
      <c r="C96" s="563">
        <f>C98</f>
        <v>136</v>
      </c>
      <c r="D96" s="346">
        <v>0</v>
      </c>
      <c r="E96" s="561">
        <v>0</v>
      </c>
      <c r="F96" s="563">
        <v>0</v>
      </c>
      <c r="G96" s="561">
        <v>0</v>
      </c>
      <c r="H96" s="346">
        <v>0</v>
      </c>
      <c r="I96" s="561">
        <v>0</v>
      </c>
      <c r="J96" s="564">
        <v>0</v>
      </c>
      <c r="K96" s="197"/>
      <c r="L96" s="197"/>
      <c r="M96" s="197"/>
      <c r="N96" s="197"/>
      <c r="O96" s="197"/>
      <c r="T96" s="197"/>
      <c r="U96" s="197"/>
      <c r="V96" s="197"/>
      <c r="W96" s="197"/>
      <c r="X96" s="197"/>
      <c r="Y96" s="197"/>
      <c r="Z96" s="197"/>
      <c r="AA96" s="197"/>
    </row>
    <row r="97" spans="1:27" s="196" customFormat="1" ht="39" customHeight="1">
      <c r="A97" s="565" t="s">
        <v>519</v>
      </c>
      <c r="B97" s="199">
        <f t="shared" si="7"/>
        <v>0</v>
      </c>
      <c r="C97" s="563">
        <v>0</v>
      </c>
      <c r="D97" s="346">
        <v>0</v>
      </c>
      <c r="E97" s="561">
        <v>0</v>
      </c>
      <c r="F97" s="563">
        <v>0</v>
      </c>
      <c r="G97" s="561">
        <v>0</v>
      </c>
      <c r="H97" s="346">
        <v>0</v>
      </c>
      <c r="I97" s="561">
        <v>0</v>
      </c>
      <c r="J97" s="564">
        <v>0</v>
      </c>
      <c r="K97" s="197"/>
      <c r="L97" s="197"/>
      <c r="M97" s="197"/>
      <c r="N97" s="197"/>
      <c r="O97" s="197"/>
      <c r="T97" s="197"/>
      <c r="U97" s="197"/>
      <c r="V97" s="197"/>
      <c r="W97" s="197"/>
      <c r="X97" s="197"/>
      <c r="Y97" s="197"/>
      <c r="Z97" s="197"/>
      <c r="AA97" s="197"/>
    </row>
    <row r="98" spans="1:27" s="196" customFormat="1" ht="22.5" customHeight="1">
      <c r="A98" s="565" t="s">
        <v>520</v>
      </c>
      <c r="B98" s="199">
        <f t="shared" si="7"/>
        <v>136</v>
      </c>
      <c r="C98" s="563">
        <v>136</v>
      </c>
      <c r="D98" s="346">
        <v>0</v>
      </c>
      <c r="E98" s="561">
        <v>0</v>
      </c>
      <c r="F98" s="563">
        <v>0</v>
      </c>
      <c r="G98" s="561">
        <v>0</v>
      </c>
      <c r="H98" s="346">
        <v>0</v>
      </c>
      <c r="I98" s="561">
        <v>0</v>
      </c>
      <c r="J98" s="564">
        <v>0</v>
      </c>
      <c r="K98" s="197"/>
      <c r="L98" s="197"/>
      <c r="M98" s="197"/>
      <c r="N98" s="197"/>
      <c r="O98" s="197"/>
      <c r="T98" s="197"/>
      <c r="U98" s="197"/>
      <c r="V98" s="197"/>
      <c r="W98" s="197"/>
      <c r="X98" s="197"/>
      <c r="Y98" s="197"/>
      <c r="Z98" s="197"/>
      <c r="AA98" s="197"/>
    </row>
    <row r="99" spans="1:27" s="196" customFormat="1" ht="30" customHeight="1">
      <c r="A99" s="565" t="s">
        <v>521</v>
      </c>
      <c r="B99" s="199">
        <f t="shared" si="7"/>
        <v>0</v>
      </c>
      <c r="C99" s="561">
        <v>0</v>
      </c>
      <c r="D99" s="346">
        <v>0</v>
      </c>
      <c r="E99" s="561">
        <v>0</v>
      </c>
      <c r="F99" s="561">
        <v>0</v>
      </c>
      <c r="G99" s="561">
        <v>0</v>
      </c>
      <c r="H99" s="346">
        <v>0</v>
      </c>
      <c r="I99" s="561">
        <v>0</v>
      </c>
      <c r="J99" s="564">
        <v>0</v>
      </c>
      <c r="K99" s="197"/>
      <c r="L99" s="197"/>
      <c r="M99" s="197"/>
      <c r="N99" s="197"/>
      <c r="O99" s="197"/>
      <c r="T99" s="197"/>
      <c r="U99" s="197"/>
      <c r="V99" s="197"/>
      <c r="W99" s="197"/>
      <c r="X99" s="197"/>
      <c r="Y99" s="197"/>
      <c r="Z99" s="197"/>
      <c r="AA99" s="197"/>
    </row>
    <row r="100" spans="1:27" s="196" customFormat="1" ht="30" customHeight="1">
      <c r="A100" s="566" t="s">
        <v>135</v>
      </c>
      <c r="B100" s="199">
        <f t="shared" si="7"/>
        <v>0</v>
      </c>
      <c r="C100" s="561">
        <v>0</v>
      </c>
      <c r="D100" s="346">
        <v>0</v>
      </c>
      <c r="E100" s="561">
        <v>0</v>
      </c>
      <c r="F100" s="561">
        <v>0</v>
      </c>
      <c r="G100" s="561">
        <v>0</v>
      </c>
      <c r="H100" s="346">
        <v>0</v>
      </c>
      <c r="I100" s="561">
        <v>0</v>
      </c>
      <c r="J100" s="564">
        <v>0</v>
      </c>
      <c r="K100" s="197"/>
      <c r="L100" s="197"/>
      <c r="M100" s="197"/>
      <c r="N100" s="197"/>
      <c r="O100" s="197"/>
      <c r="T100" s="197"/>
      <c r="U100" s="197"/>
      <c r="V100" s="197"/>
      <c r="W100" s="197"/>
      <c r="X100" s="197"/>
      <c r="Y100" s="197"/>
      <c r="Z100" s="197"/>
      <c r="AA100" s="197"/>
    </row>
    <row r="101" spans="1:27" s="196" customFormat="1" ht="44.25" customHeight="1">
      <c r="A101" s="565" t="s">
        <v>136</v>
      </c>
      <c r="B101" s="199">
        <f t="shared" si="7"/>
        <v>0</v>
      </c>
      <c r="C101" s="561">
        <v>0</v>
      </c>
      <c r="D101" s="346">
        <v>0</v>
      </c>
      <c r="E101" s="561">
        <v>0</v>
      </c>
      <c r="F101" s="561">
        <v>0</v>
      </c>
      <c r="G101" s="561">
        <v>0</v>
      </c>
      <c r="H101" s="346">
        <v>0</v>
      </c>
      <c r="I101" s="561">
        <v>0</v>
      </c>
      <c r="J101" s="564">
        <v>0</v>
      </c>
      <c r="K101" s="197"/>
      <c r="L101" s="197"/>
      <c r="M101" s="197"/>
      <c r="N101" s="197"/>
      <c r="O101" s="197"/>
      <c r="T101" s="197"/>
      <c r="U101" s="197"/>
      <c r="V101" s="197"/>
      <c r="W101" s="197"/>
      <c r="X101" s="197"/>
      <c r="Y101" s="197"/>
      <c r="Z101" s="197"/>
      <c r="AA101" s="197"/>
    </row>
    <row r="102" spans="1:27" s="196" customFormat="1" ht="30" customHeight="1">
      <c r="A102" s="565" t="s">
        <v>137</v>
      </c>
      <c r="B102" s="199">
        <f t="shared" si="7"/>
        <v>0</v>
      </c>
      <c r="C102" s="561">
        <v>0</v>
      </c>
      <c r="D102" s="346">
        <v>0</v>
      </c>
      <c r="E102" s="561">
        <v>0</v>
      </c>
      <c r="F102" s="561">
        <v>0</v>
      </c>
      <c r="G102" s="561">
        <v>0</v>
      </c>
      <c r="H102" s="346">
        <v>0</v>
      </c>
      <c r="I102" s="561">
        <v>0</v>
      </c>
      <c r="J102" s="564">
        <v>0</v>
      </c>
      <c r="K102" s="197"/>
      <c r="L102" s="197"/>
      <c r="M102" s="197"/>
      <c r="N102" s="197"/>
      <c r="O102" s="197"/>
      <c r="T102" s="197"/>
      <c r="U102" s="197"/>
      <c r="V102" s="197"/>
      <c r="W102" s="197"/>
      <c r="X102" s="197"/>
      <c r="Y102" s="197"/>
      <c r="Z102" s="197"/>
      <c r="AA102" s="197"/>
    </row>
    <row r="103" spans="1:27" s="216" customFormat="1" ht="20.25" customHeight="1">
      <c r="A103" s="430" t="s">
        <v>34</v>
      </c>
      <c r="B103" s="396">
        <f>ROUND(C103+D103+G103+H103*2.9+J103*$L$1+I103,0)+2</f>
        <v>5322</v>
      </c>
      <c r="C103" s="446">
        <v>0</v>
      </c>
      <c r="D103" s="421">
        <v>1590</v>
      </c>
      <c r="E103" s="490">
        <v>0</v>
      </c>
      <c r="F103" s="490">
        <v>0</v>
      </c>
      <c r="G103" s="422">
        <v>288</v>
      </c>
      <c r="H103" s="422">
        <v>1187</v>
      </c>
      <c r="I103" s="570">
        <v>0</v>
      </c>
      <c r="J103" s="419">
        <v>0</v>
      </c>
      <c r="K103" s="215"/>
      <c r="L103" s="215"/>
      <c r="M103" s="215"/>
      <c r="N103" s="215"/>
      <c r="O103" s="215"/>
      <c r="T103" s="215"/>
      <c r="U103" s="215"/>
      <c r="V103" s="215"/>
      <c r="W103" s="215"/>
      <c r="X103" s="215"/>
      <c r="Y103" s="215"/>
      <c r="Z103" s="215"/>
      <c r="AA103" s="215"/>
    </row>
    <row r="104" spans="1:27" s="216" customFormat="1" ht="20.25" customHeight="1">
      <c r="A104" s="430" t="s">
        <v>444</v>
      </c>
      <c r="B104" s="396">
        <f t="shared" si="7"/>
        <v>11785</v>
      </c>
      <c r="C104" s="440">
        <v>0</v>
      </c>
      <c r="D104" s="421">
        <v>3272</v>
      </c>
      <c r="E104" s="490">
        <v>0</v>
      </c>
      <c r="F104" s="490">
        <v>0</v>
      </c>
      <c r="G104" s="422">
        <v>697</v>
      </c>
      <c r="H104" s="422">
        <v>2695</v>
      </c>
      <c r="I104" s="570">
        <v>0</v>
      </c>
      <c r="J104" s="419">
        <v>0</v>
      </c>
      <c r="K104" s="215"/>
      <c r="L104" s="215"/>
      <c r="M104" s="215"/>
      <c r="N104" s="215"/>
      <c r="O104" s="215"/>
      <c r="T104" s="215"/>
      <c r="U104" s="215"/>
      <c r="V104" s="215"/>
      <c r="W104" s="215"/>
      <c r="X104" s="215"/>
      <c r="Y104" s="215"/>
      <c r="Z104" s="215"/>
      <c r="AA104" s="215"/>
    </row>
    <row r="105" spans="1:27" s="216" customFormat="1" ht="20.25" customHeight="1">
      <c r="A105" s="430" t="s">
        <v>565</v>
      </c>
      <c r="B105" s="396">
        <f>ROUND(C105+D105+G105+H105*2.9+J105*$L$1+I105*2.9,0)</f>
        <v>15736</v>
      </c>
      <c r="C105" s="421">
        <f>C106</f>
        <v>631</v>
      </c>
      <c r="D105" s="421">
        <v>3213</v>
      </c>
      <c r="E105" s="490">
        <v>0</v>
      </c>
      <c r="F105" s="490">
        <v>0</v>
      </c>
      <c r="G105" s="422">
        <f>1163</f>
        <v>1163</v>
      </c>
      <c r="H105" s="422">
        <v>3610</v>
      </c>
      <c r="I105" s="570">
        <v>0</v>
      </c>
      <c r="J105" s="423">
        <f>'1.2. Диспансерное наблюдение'!$E$64</f>
        <v>260</v>
      </c>
      <c r="K105" s="215"/>
      <c r="L105" s="215"/>
      <c r="M105" s="215"/>
      <c r="N105" s="215"/>
      <c r="O105" s="215"/>
      <c r="T105" s="215"/>
      <c r="U105" s="215"/>
      <c r="V105" s="215"/>
      <c r="W105" s="215"/>
      <c r="X105" s="215"/>
      <c r="Y105" s="215"/>
      <c r="Z105" s="215"/>
      <c r="AA105" s="215"/>
    </row>
    <row r="106" spans="1:27" s="196" customFormat="1" ht="49.5" customHeight="1">
      <c r="A106" s="562" t="s">
        <v>566</v>
      </c>
      <c r="B106" s="199">
        <f aca="true" t="shared" si="8" ref="B106:B113">ROUND(C106+D106+G106+H106*2.9+J106*$L$1+I106,0)</f>
        <v>631</v>
      </c>
      <c r="C106" s="563">
        <f>C107+C110</f>
        <v>631</v>
      </c>
      <c r="D106" s="346">
        <v>0</v>
      </c>
      <c r="E106" s="561">
        <v>0</v>
      </c>
      <c r="F106" s="504">
        <f>F107+F110</f>
        <v>0</v>
      </c>
      <c r="G106" s="561">
        <v>0</v>
      </c>
      <c r="H106" s="346">
        <v>0</v>
      </c>
      <c r="I106" s="561">
        <v>0</v>
      </c>
      <c r="J106" s="564">
        <v>0</v>
      </c>
      <c r="K106" s="197"/>
      <c r="L106" s="197"/>
      <c r="M106" s="197"/>
      <c r="N106" s="197"/>
      <c r="O106" s="197"/>
      <c r="T106" s="197"/>
      <c r="U106" s="197"/>
      <c r="V106" s="197"/>
      <c r="W106" s="197"/>
      <c r="X106" s="197"/>
      <c r="Y106" s="197"/>
      <c r="Z106" s="197"/>
      <c r="AA106" s="197"/>
    </row>
    <row r="107" spans="1:27" s="196" customFormat="1" ht="43.5" customHeight="1">
      <c r="A107" s="565" t="s">
        <v>560</v>
      </c>
      <c r="B107" s="199">
        <f t="shared" si="8"/>
        <v>631</v>
      </c>
      <c r="C107" s="563">
        <f>C109</f>
        <v>631</v>
      </c>
      <c r="D107" s="346">
        <v>0</v>
      </c>
      <c r="E107" s="561">
        <v>0</v>
      </c>
      <c r="F107" s="504">
        <v>0</v>
      </c>
      <c r="G107" s="561">
        <v>0</v>
      </c>
      <c r="H107" s="346">
        <v>0</v>
      </c>
      <c r="I107" s="561">
        <v>0</v>
      </c>
      <c r="J107" s="564">
        <v>0</v>
      </c>
      <c r="K107" s="197"/>
      <c r="L107" s="197"/>
      <c r="M107" s="197"/>
      <c r="N107" s="197"/>
      <c r="O107" s="197"/>
      <c r="T107" s="197"/>
      <c r="U107" s="197"/>
      <c r="V107" s="197"/>
      <c r="W107" s="197"/>
      <c r="X107" s="197"/>
      <c r="Y107" s="197"/>
      <c r="Z107" s="197"/>
      <c r="AA107" s="197"/>
    </row>
    <row r="108" spans="1:27" s="196" customFormat="1" ht="31.5" customHeight="1">
      <c r="A108" s="565" t="s">
        <v>519</v>
      </c>
      <c r="B108" s="199">
        <f t="shared" si="8"/>
        <v>0</v>
      </c>
      <c r="C108" s="561">
        <v>0</v>
      </c>
      <c r="D108" s="346">
        <v>0</v>
      </c>
      <c r="E108" s="561">
        <v>0</v>
      </c>
      <c r="F108" s="571">
        <v>0</v>
      </c>
      <c r="G108" s="561">
        <v>0</v>
      </c>
      <c r="H108" s="346">
        <v>0</v>
      </c>
      <c r="I108" s="561">
        <v>0</v>
      </c>
      <c r="J108" s="564">
        <v>0</v>
      </c>
      <c r="K108" s="197"/>
      <c r="L108" s="197"/>
      <c r="M108" s="197"/>
      <c r="N108" s="197"/>
      <c r="O108" s="197"/>
      <c r="T108" s="197"/>
      <c r="U108" s="197"/>
      <c r="V108" s="197"/>
      <c r="W108" s="197"/>
      <c r="X108" s="197"/>
      <c r="Y108" s="197"/>
      <c r="Z108" s="197"/>
      <c r="AA108" s="197"/>
    </row>
    <row r="109" spans="1:27" s="196" customFormat="1" ht="22.5" customHeight="1">
      <c r="A109" s="565" t="s">
        <v>520</v>
      </c>
      <c r="B109" s="199">
        <f t="shared" si="8"/>
        <v>631</v>
      </c>
      <c r="C109" s="563">
        <v>631</v>
      </c>
      <c r="D109" s="346">
        <v>0</v>
      </c>
      <c r="E109" s="561">
        <v>0</v>
      </c>
      <c r="F109" s="504">
        <v>0</v>
      </c>
      <c r="G109" s="561">
        <v>0</v>
      </c>
      <c r="H109" s="346">
        <v>0</v>
      </c>
      <c r="I109" s="561">
        <v>0</v>
      </c>
      <c r="J109" s="564">
        <v>0</v>
      </c>
      <c r="K109" s="197"/>
      <c r="L109" s="197"/>
      <c r="M109" s="197"/>
      <c r="N109" s="197"/>
      <c r="O109" s="197"/>
      <c r="T109" s="197"/>
      <c r="U109" s="197"/>
      <c r="V109" s="197"/>
      <c r="W109" s="197"/>
      <c r="X109" s="197"/>
      <c r="Y109" s="197"/>
      <c r="Z109" s="197"/>
      <c r="AA109" s="197"/>
    </row>
    <row r="110" spans="1:27" s="196" customFormat="1" ht="30" customHeight="1">
      <c r="A110" s="565" t="s">
        <v>521</v>
      </c>
      <c r="B110" s="199">
        <f t="shared" si="8"/>
        <v>0</v>
      </c>
      <c r="C110" s="563"/>
      <c r="D110" s="346">
        <v>0</v>
      </c>
      <c r="E110" s="561">
        <v>0</v>
      </c>
      <c r="F110" s="561">
        <v>0</v>
      </c>
      <c r="G110" s="561">
        <v>0</v>
      </c>
      <c r="H110" s="346">
        <v>0</v>
      </c>
      <c r="I110" s="561">
        <v>0</v>
      </c>
      <c r="J110" s="564">
        <v>0</v>
      </c>
      <c r="K110" s="197"/>
      <c r="L110" s="197"/>
      <c r="M110" s="197"/>
      <c r="N110" s="197"/>
      <c r="O110" s="197"/>
      <c r="T110" s="197"/>
      <c r="U110" s="197"/>
      <c r="V110" s="197"/>
      <c r="W110" s="197"/>
      <c r="X110" s="197"/>
      <c r="Y110" s="197"/>
      <c r="Z110" s="197"/>
      <c r="AA110" s="197"/>
    </row>
    <row r="111" spans="1:27" s="196" customFormat="1" ht="30" customHeight="1">
      <c r="A111" s="566" t="s">
        <v>135</v>
      </c>
      <c r="B111" s="199">
        <f t="shared" si="8"/>
        <v>0</v>
      </c>
      <c r="C111" s="563">
        <v>0</v>
      </c>
      <c r="D111" s="346">
        <v>0</v>
      </c>
      <c r="E111" s="561">
        <v>0</v>
      </c>
      <c r="F111" s="561">
        <v>0</v>
      </c>
      <c r="G111" s="561">
        <v>0</v>
      </c>
      <c r="H111" s="346">
        <v>0</v>
      </c>
      <c r="I111" s="561">
        <v>0</v>
      </c>
      <c r="J111" s="564">
        <v>0</v>
      </c>
      <c r="K111" s="197"/>
      <c r="L111" s="197"/>
      <c r="M111" s="197"/>
      <c r="N111" s="197"/>
      <c r="O111" s="197"/>
      <c r="T111" s="197"/>
      <c r="U111" s="197"/>
      <c r="V111" s="197"/>
      <c r="W111" s="197"/>
      <c r="X111" s="197"/>
      <c r="Y111" s="197"/>
      <c r="Z111" s="197"/>
      <c r="AA111" s="197"/>
    </row>
    <row r="112" spans="1:27" s="196" customFormat="1" ht="44.25" customHeight="1">
      <c r="A112" s="565" t="s">
        <v>136</v>
      </c>
      <c r="B112" s="199">
        <f t="shared" si="8"/>
        <v>0</v>
      </c>
      <c r="C112" s="563">
        <v>0</v>
      </c>
      <c r="D112" s="346">
        <v>0</v>
      </c>
      <c r="E112" s="561">
        <v>0</v>
      </c>
      <c r="F112" s="561">
        <v>0</v>
      </c>
      <c r="G112" s="561">
        <v>0</v>
      </c>
      <c r="H112" s="346">
        <v>0</v>
      </c>
      <c r="I112" s="561">
        <v>0</v>
      </c>
      <c r="J112" s="564">
        <v>0</v>
      </c>
      <c r="K112" s="197"/>
      <c r="L112" s="197"/>
      <c r="M112" s="197"/>
      <c r="N112" s="197"/>
      <c r="O112" s="197"/>
      <c r="T112" s="197"/>
      <c r="U112" s="197"/>
      <c r="V112" s="197"/>
      <c r="W112" s="197"/>
      <c r="X112" s="197"/>
      <c r="Y112" s="197"/>
      <c r="Z112" s="197"/>
      <c r="AA112" s="197"/>
    </row>
    <row r="113" spans="1:27" s="196" customFormat="1" ht="30" customHeight="1">
      <c r="A113" s="565" t="s">
        <v>137</v>
      </c>
      <c r="B113" s="199">
        <f t="shared" si="8"/>
        <v>0</v>
      </c>
      <c r="C113" s="563">
        <v>0</v>
      </c>
      <c r="D113" s="346">
        <v>0</v>
      </c>
      <c r="E113" s="561">
        <v>0</v>
      </c>
      <c r="F113" s="561">
        <v>0</v>
      </c>
      <c r="G113" s="561">
        <v>0</v>
      </c>
      <c r="H113" s="346">
        <v>0</v>
      </c>
      <c r="I113" s="561">
        <v>0</v>
      </c>
      <c r="J113" s="564">
        <v>0</v>
      </c>
      <c r="K113" s="197"/>
      <c r="L113" s="197"/>
      <c r="M113" s="197"/>
      <c r="N113" s="197"/>
      <c r="O113" s="197"/>
      <c r="T113" s="197"/>
      <c r="U113" s="197"/>
      <c r="V113" s="197"/>
      <c r="W113" s="197"/>
      <c r="X113" s="197"/>
      <c r="Y113" s="197"/>
      <c r="Z113" s="197"/>
      <c r="AA113" s="197"/>
    </row>
    <row r="114" spans="1:27" s="216" customFormat="1" ht="20.25" customHeight="1" thickBot="1">
      <c r="A114" s="430" t="s">
        <v>563</v>
      </c>
      <c r="B114" s="175">
        <f>ROUND(C114+D114+G114+H114*2.9+J114*$L$1+I114*2.9,0)</f>
        <v>3111</v>
      </c>
      <c r="C114" s="416">
        <v>0</v>
      </c>
      <c r="D114" s="190">
        <f>603</f>
        <v>603</v>
      </c>
      <c r="E114" s="491">
        <v>300</v>
      </c>
      <c r="F114" s="491"/>
      <c r="G114" s="431">
        <f>2</f>
        <v>2</v>
      </c>
      <c r="H114" s="431">
        <f>512</f>
        <v>512</v>
      </c>
      <c r="I114" s="561">
        <v>0</v>
      </c>
      <c r="J114" s="432">
        <f>'1.2. Диспансерное наблюдение'!$E$69</f>
        <v>1021</v>
      </c>
      <c r="K114" s="215"/>
      <c r="L114" s="215"/>
      <c r="M114" s="215"/>
      <c r="N114" s="215"/>
      <c r="O114" s="215"/>
      <c r="T114" s="215"/>
      <c r="U114" s="215"/>
      <c r="V114" s="215"/>
      <c r="W114" s="215"/>
      <c r="X114" s="215"/>
      <c r="Y114" s="215"/>
      <c r="Z114" s="215"/>
      <c r="AA114" s="215"/>
    </row>
    <row r="115" spans="1:27" ht="39" customHeight="1" thickBot="1">
      <c r="A115" s="234" t="s">
        <v>573</v>
      </c>
      <c r="B115" s="181">
        <f>SUM(B15,B24:B25,B26:B28,B29,B38:B39,B48,B57,B66:B66,B75,B76,B85,B94,B103:B105,B114)</f>
        <v>323890</v>
      </c>
      <c r="C115" s="181">
        <f>SUM(C15,C24:C25,C26:C28,C29,C38:C39,C48,C57,C66:C66,C75,C76,C85,C94,C103:C105,C114)</f>
        <v>50791</v>
      </c>
      <c r="D115" s="181">
        <f aca="true" t="shared" si="9" ref="D115:J115">SUM(D15,D24:D25,D26:D28,D29,D38:D39,D48,D57,D66:D66,D75,D76,D85,D94,D103:D105,D114)</f>
        <v>51637</v>
      </c>
      <c r="E115" s="492">
        <f t="shared" si="9"/>
        <v>5772</v>
      </c>
      <c r="F115" s="492">
        <f t="shared" si="9"/>
        <v>0</v>
      </c>
      <c r="G115" s="181">
        <f t="shared" si="9"/>
        <v>10930</v>
      </c>
      <c r="H115" s="181">
        <f>SUM(H15,H24:H25,H26:H28,H29,H38:H39,H48,H57,H66:H66,H75,H76,H85,H94,H103:H105,H114)</f>
        <v>68799</v>
      </c>
      <c r="I115" s="315">
        <f t="shared" si="9"/>
        <v>0</v>
      </c>
      <c r="J115" s="327">
        <f t="shared" si="9"/>
        <v>11010</v>
      </c>
      <c r="K115" s="174"/>
      <c r="L115" s="174"/>
      <c r="M115" s="174"/>
      <c r="N115" s="174"/>
      <c r="O115" s="174"/>
      <c r="T115" s="174"/>
      <c r="U115" s="174"/>
      <c r="V115" s="174"/>
      <c r="W115" s="174"/>
      <c r="X115" s="174"/>
      <c r="Y115" s="174"/>
      <c r="Z115" s="174"/>
      <c r="AA115" s="174"/>
    </row>
    <row r="116" spans="1:27" ht="23.25" customHeight="1">
      <c r="A116" s="835" t="s">
        <v>570</v>
      </c>
      <c r="B116" s="836"/>
      <c r="C116" s="836"/>
      <c r="D116" s="836"/>
      <c r="E116" s="836"/>
      <c r="F116" s="836"/>
      <c r="G116" s="836"/>
      <c r="H116" s="836"/>
      <c r="I116" s="836"/>
      <c r="J116" s="837"/>
      <c r="K116" s="174"/>
      <c r="L116" s="174"/>
      <c r="M116" s="174"/>
      <c r="N116" s="174"/>
      <c r="O116" s="174"/>
      <c r="T116" s="174"/>
      <c r="U116" s="174"/>
      <c r="V116" s="174"/>
      <c r="W116" s="174"/>
      <c r="X116" s="174"/>
      <c r="Y116" s="174"/>
      <c r="Z116" s="174"/>
      <c r="AA116" s="174"/>
    </row>
    <row r="117" spans="1:27" ht="23.25" customHeight="1">
      <c r="A117" s="393" t="s">
        <v>8</v>
      </c>
      <c r="B117" s="396">
        <f>ROUND(C117+D117+G117+H117*2.9+J117*$L$1+I117,0)</f>
        <v>3803</v>
      </c>
      <c r="C117" s="561">
        <v>0</v>
      </c>
      <c r="D117" s="518">
        <v>1086</v>
      </c>
      <c r="E117" s="364">
        <v>286</v>
      </c>
      <c r="F117" s="561">
        <v>0</v>
      </c>
      <c r="G117" s="440">
        <v>0</v>
      </c>
      <c r="H117" s="440">
        <v>937</v>
      </c>
      <c r="I117" s="561">
        <v>0</v>
      </c>
      <c r="J117" s="564">
        <v>0</v>
      </c>
      <c r="K117" s="174"/>
      <c r="L117" s="174"/>
      <c r="M117" s="174"/>
      <c r="N117" s="174"/>
      <c r="O117" s="174"/>
      <c r="T117" s="174"/>
      <c r="U117" s="174"/>
      <c r="V117" s="174"/>
      <c r="W117" s="174"/>
      <c r="X117" s="174"/>
      <c r="Y117" s="174"/>
      <c r="Z117" s="174"/>
      <c r="AA117" s="174"/>
    </row>
    <row r="118" spans="1:27" ht="23.25" customHeight="1">
      <c r="A118" s="393" t="s">
        <v>10</v>
      </c>
      <c r="B118" s="396">
        <f>ROUND(C118+D118+G118+H118*2.9+J118*$L$1+I118,0)-1</f>
        <v>1554</v>
      </c>
      <c r="C118" s="561">
        <v>0</v>
      </c>
      <c r="D118" s="518">
        <v>444</v>
      </c>
      <c r="E118" s="561">
        <v>0</v>
      </c>
      <c r="F118" s="561">
        <v>0</v>
      </c>
      <c r="G118" s="440">
        <v>0</v>
      </c>
      <c r="H118" s="440">
        <v>383</v>
      </c>
      <c r="I118" s="561">
        <v>0</v>
      </c>
      <c r="J118" s="564">
        <v>0</v>
      </c>
      <c r="K118" s="174"/>
      <c r="L118" s="174"/>
      <c r="M118" s="174"/>
      <c r="N118" s="174"/>
      <c r="O118" s="174"/>
      <c r="T118" s="174"/>
      <c r="U118" s="174"/>
      <c r="V118" s="174"/>
      <c r="W118" s="174"/>
      <c r="X118" s="174"/>
      <c r="Y118" s="174"/>
      <c r="Z118" s="174"/>
      <c r="AA118" s="174"/>
    </row>
    <row r="119" spans="1:27" ht="23.25" customHeight="1">
      <c r="A119" s="393" t="s">
        <v>60</v>
      </c>
      <c r="B119" s="396">
        <f>ROUND(C119+D119+G119+H119*2.9+J119*$L$1+I119,0)</f>
        <v>2648</v>
      </c>
      <c r="C119" s="561">
        <v>0</v>
      </c>
      <c r="D119" s="518">
        <v>691</v>
      </c>
      <c r="E119" s="364">
        <v>470</v>
      </c>
      <c r="F119" s="561">
        <v>0</v>
      </c>
      <c r="G119" s="440">
        <v>226</v>
      </c>
      <c r="H119" s="440">
        <v>597</v>
      </c>
      <c r="I119" s="561">
        <v>0</v>
      </c>
      <c r="J119" s="564">
        <v>0</v>
      </c>
      <c r="K119" s="174"/>
      <c r="L119" s="174"/>
      <c r="M119" s="174"/>
      <c r="N119" s="174"/>
      <c r="O119" s="174"/>
      <c r="T119" s="174"/>
      <c r="U119" s="174"/>
      <c r="V119" s="174"/>
      <c r="W119" s="174"/>
      <c r="X119" s="174"/>
      <c r="Y119" s="174"/>
      <c r="Z119" s="174"/>
      <c r="AA119" s="174"/>
    </row>
    <row r="120" spans="1:27" ht="23.25" customHeight="1">
      <c r="A120" s="394" t="s">
        <v>3</v>
      </c>
      <c r="B120" s="396">
        <f>ROUND(C120+D120+G120+H120*2.9+J120*$L$1+I120,0)</f>
        <v>3151</v>
      </c>
      <c r="C120" s="561">
        <v>0</v>
      </c>
      <c r="D120" s="518">
        <v>840</v>
      </c>
      <c r="E120" s="364">
        <v>0</v>
      </c>
      <c r="F120" s="561">
        <v>0</v>
      </c>
      <c r="G120" s="440">
        <v>211</v>
      </c>
      <c r="H120" s="440">
        <v>724</v>
      </c>
      <c r="I120" s="561">
        <v>0</v>
      </c>
      <c r="J120" s="564">
        <v>0</v>
      </c>
      <c r="K120" s="174"/>
      <c r="L120" s="174"/>
      <c r="M120" s="174"/>
      <c r="N120" s="174"/>
      <c r="O120" s="174"/>
      <c r="T120" s="174"/>
      <c r="U120" s="174"/>
      <c r="V120" s="174"/>
      <c r="W120" s="174"/>
      <c r="X120" s="174"/>
      <c r="Y120" s="174"/>
      <c r="Z120" s="174"/>
      <c r="AA120" s="174"/>
    </row>
    <row r="121" spans="1:27" ht="23.25" customHeight="1">
      <c r="A121" s="394" t="s">
        <v>11</v>
      </c>
      <c r="B121" s="396">
        <f aca="true" t="shared" si="10" ref="B121:B130">ROUND(C121+D121+G121+H121*2.9+J121*$L$1+I121,0)</f>
        <v>1669</v>
      </c>
      <c r="C121" s="561">
        <v>0</v>
      </c>
      <c r="D121" s="518">
        <v>371</v>
      </c>
      <c r="E121" s="561">
        <v>0</v>
      </c>
      <c r="F121" s="561">
        <v>0</v>
      </c>
      <c r="G121" s="440">
        <v>373</v>
      </c>
      <c r="H121" s="440">
        <v>319</v>
      </c>
      <c r="I121" s="561">
        <v>0</v>
      </c>
      <c r="J121" s="564">
        <v>0</v>
      </c>
      <c r="K121" s="174"/>
      <c r="L121" s="174"/>
      <c r="M121" s="174"/>
      <c r="N121" s="174"/>
      <c r="O121" s="174"/>
      <c r="T121" s="174"/>
      <c r="U121" s="174"/>
      <c r="V121" s="174"/>
      <c r="W121" s="174"/>
      <c r="X121" s="174"/>
      <c r="Y121" s="174"/>
      <c r="Z121" s="174"/>
      <c r="AA121" s="174"/>
    </row>
    <row r="122" spans="1:27" ht="23.25" customHeight="1">
      <c r="A122" s="394" t="s">
        <v>7</v>
      </c>
      <c r="B122" s="396">
        <f t="shared" si="10"/>
        <v>649</v>
      </c>
      <c r="C122" s="561">
        <v>0</v>
      </c>
      <c r="D122" s="518">
        <v>185</v>
      </c>
      <c r="E122" s="561">
        <v>0</v>
      </c>
      <c r="F122" s="561">
        <v>0</v>
      </c>
      <c r="G122" s="440">
        <v>0</v>
      </c>
      <c r="H122" s="440">
        <v>160</v>
      </c>
      <c r="I122" s="561">
        <v>0</v>
      </c>
      <c r="J122" s="564">
        <v>0</v>
      </c>
      <c r="K122" s="174"/>
      <c r="L122" s="174"/>
      <c r="M122" s="174"/>
      <c r="N122" s="174"/>
      <c r="O122" s="174"/>
      <c r="T122" s="174"/>
      <c r="U122" s="174"/>
      <c r="V122" s="174"/>
      <c r="W122" s="174"/>
      <c r="X122" s="174"/>
      <c r="Y122" s="174"/>
      <c r="Z122" s="174"/>
      <c r="AA122" s="174"/>
    </row>
    <row r="123" spans="1:27" ht="23.25" customHeight="1">
      <c r="A123" s="394" t="s">
        <v>70</v>
      </c>
      <c r="B123" s="396">
        <f t="shared" si="10"/>
        <v>4059</v>
      </c>
      <c r="C123" s="561">
        <v>0</v>
      </c>
      <c r="D123" s="518">
        <f>568+568</f>
        <v>1136</v>
      </c>
      <c r="E123" s="364">
        <v>200</v>
      </c>
      <c r="F123" s="561">
        <v>0</v>
      </c>
      <c r="G123" s="440">
        <v>81</v>
      </c>
      <c r="H123" s="440">
        <v>980</v>
      </c>
      <c r="I123" s="561">
        <v>0</v>
      </c>
      <c r="J123" s="564">
        <v>0</v>
      </c>
      <c r="K123" s="174"/>
      <c r="L123" s="174"/>
      <c r="M123" s="174"/>
      <c r="N123" s="174"/>
      <c r="O123" s="174"/>
      <c r="T123" s="174"/>
      <c r="U123" s="174"/>
      <c r="V123" s="174"/>
      <c r="W123" s="174"/>
      <c r="X123" s="174"/>
      <c r="Y123" s="174"/>
      <c r="Z123" s="174"/>
      <c r="AA123" s="174"/>
    </row>
    <row r="124" spans="1:27" ht="23.25" customHeight="1">
      <c r="A124" s="394" t="s">
        <v>2</v>
      </c>
      <c r="B124" s="396">
        <f t="shared" si="10"/>
        <v>5937</v>
      </c>
      <c r="C124" s="561">
        <v>0</v>
      </c>
      <c r="D124" s="518">
        <v>1605</v>
      </c>
      <c r="E124" s="364">
        <v>479</v>
      </c>
      <c r="F124" s="561">
        <v>0</v>
      </c>
      <c r="G124" s="440">
        <v>318</v>
      </c>
      <c r="H124" s="440">
        <v>1384</v>
      </c>
      <c r="I124" s="561">
        <v>0</v>
      </c>
      <c r="J124" s="564">
        <v>0</v>
      </c>
      <c r="K124" s="174"/>
      <c r="L124" s="174"/>
      <c r="M124" s="174"/>
      <c r="N124" s="174"/>
      <c r="O124" s="174"/>
      <c r="T124" s="174"/>
      <c r="U124" s="174"/>
      <c r="V124" s="174"/>
      <c r="W124" s="174"/>
      <c r="X124" s="174"/>
      <c r="Y124" s="174"/>
      <c r="Z124" s="174"/>
      <c r="AA124" s="174"/>
    </row>
    <row r="125" spans="1:27" ht="23.25" customHeight="1">
      <c r="A125" s="394" t="s">
        <v>9</v>
      </c>
      <c r="B125" s="396">
        <f t="shared" si="10"/>
        <v>1125</v>
      </c>
      <c r="C125" s="561">
        <v>0</v>
      </c>
      <c r="D125" s="518">
        <v>325</v>
      </c>
      <c r="E125" s="561">
        <v>0</v>
      </c>
      <c r="F125" s="561">
        <v>0</v>
      </c>
      <c r="G125" s="440">
        <v>0</v>
      </c>
      <c r="H125" s="440">
        <v>276</v>
      </c>
      <c r="I125" s="561">
        <v>0</v>
      </c>
      <c r="J125" s="564">
        <v>0</v>
      </c>
      <c r="K125" s="174"/>
      <c r="L125" s="174"/>
      <c r="M125" s="174"/>
      <c r="N125" s="174"/>
      <c r="O125" s="174"/>
      <c r="T125" s="174"/>
      <c r="U125" s="174"/>
      <c r="V125" s="174"/>
      <c r="W125" s="174"/>
      <c r="X125" s="174"/>
      <c r="Y125" s="174"/>
      <c r="Z125" s="174"/>
      <c r="AA125" s="174"/>
    </row>
    <row r="126" spans="1:27" ht="23.25" customHeight="1">
      <c r="A126" s="394" t="s">
        <v>38</v>
      </c>
      <c r="B126" s="396">
        <f t="shared" si="10"/>
        <v>1210</v>
      </c>
      <c r="C126" s="561">
        <v>0</v>
      </c>
      <c r="D126" s="518">
        <v>346</v>
      </c>
      <c r="E126" s="561">
        <v>0</v>
      </c>
      <c r="F126" s="561">
        <v>0</v>
      </c>
      <c r="G126" s="440">
        <v>0</v>
      </c>
      <c r="H126" s="440">
        <v>298</v>
      </c>
      <c r="I126" s="561">
        <v>0</v>
      </c>
      <c r="J126" s="564">
        <v>0</v>
      </c>
      <c r="K126" s="174"/>
      <c r="L126" s="174"/>
      <c r="M126" s="174"/>
      <c r="N126" s="174"/>
      <c r="O126" s="174"/>
      <c r="T126" s="174"/>
      <c r="U126" s="174"/>
      <c r="V126" s="174"/>
      <c r="W126" s="174"/>
      <c r="X126" s="174"/>
      <c r="Y126" s="174"/>
      <c r="Z126" s="174"/>
      <c r="AA126" s="174"/>
    </row>
    <row r="127" spans="1:27" ht="23.25" customHeight="1">
      <c r="A127" s="394" t="s">
        <v>0</v>
      </c>
      <c r="B127" s="396">
        <f t="shared" si="10"/>
        <v>540</v>
      </c>
      <c r="C127" s="561">
        <v>0</v>
      </c>
      <c r="D127" s="346">
        <v>0</v>
      </c>
      <c r="E127" s="561">
        <v>0</v>
      </c>
      <c r="F127" s="561">
        <v>0</v>
      </c>
      <c r="G127" s="440">
        <v>540</v>
      </c>
      <c r="H127" s="440"/>
      <c r="I127" s="561">
        <v>0</v>
      </c>
      <c r="J127" s="564">
        <v>0</v>
      </c>
      <c r="K127" s="174"/>
      <c r="L127" s="174"/>
      <c r="M127" s="174"/>
      <c r="N127" s="174"/>
      <c r="O127" s="174"/>
      <c r="T127" s="174"/>
      <c r="U127" s="174"/>
      <c r="V127" s="174"/>
      <c r="W127" s="174"/>
      <c r="X127" s="174"/>
      <c r="Y127" s="174"/>
      <c r="Z127" s="174"/>
      <c r="AA127" s="174"/>
    </row>
    <row r="128" spans="1:27" ht="23.25" customHeight="1">
      <c r="A128" s="394" t="s">
        <v>382</v>
      </c>
      <c r="B128" s="396">
        <f t="shared" si="10"/>
        <v>2840</v>
      </c>
      <c r="C128" s="561">
        <v>0</v>
      </c>
      <c r="D128" s="518">
        <v>741</v>
      </c>
      <c r="E128" s="561">
        <v>0</v>
      </c>
      <c r="F128" s="561">
        <v>0</v>
      </c>
      <c r="G128" s="440">
        <v>246</v>
      </c>
      <c r="H128" s="440">
        <v>639</v>
      </c>
      <c r="I128" s="561">
        <v>0</v>
      </c>
      <c r="J128" s="564">
        <v>0</v>
      </c>
      <c r="K128" s="174"/>
      <c r="L128" s="174"/>
      <c r="M128" s="174"/>
      <c r="N128" s="174"/>
      <c r="O128" s="174"/>
      <c r="T128" s="174"/>
      <c r="U128" s="174"/>
      <c r="V128" s="174"/>
      <c r="W128" s="174"/>
      <c r="X128" s="174"/>
      <c r="Y128" s="174"/>
      <c r="Z128" s="174"/>
      <c r="AA128" s="174"/>
    </row>
    <row r="129" spans="1:27" ht="23.25" customHeight="1">
      <c r="A129" s="394" t="s">
        <v>1</v>
      </c>
      <c r="B129" s="396">
        <f t="shared" si="10"/>
        <v>1994</v>
      </c>
      <c r="C129" s="561">
        <v>0</v>
      </c>
      <c r="D129" s="518">
        <v>568</v>
      </c>
      <c r="E129" s="364">
        <v>300</v>
      </c>
      <c r="F129" s="561">
        <v>0</v>
      </c>
      <c r="G129" s="440">
        <v>5</v>
      </c>
      <c r="H129" s="440">
        <v>490</v>
      </c>
      <c r="I129" s="561">
        <v>0</v>
      </c>
      <c r="J129" s="564">
        <v>0</v>
      </c>
      <c r="K129" s="174"/>
      <c r="L129" s="174"/>
      <c r="M129" s="174"/>
      <c r="N129" s="174"/>
      <c r="O129" s="174"/>
      <c r="T129" s="174"/>
      <c r="U129" s="174"/>
      <c r="V129" s="174"/>
      <c r="W129" s="174"/>
      <c r="X129" s="174"/>
      <c r="Y129" s="174"/>
      <c r="Z129" s="174"/>
      <c r="AA129" s="174"/>
    </row>
    <row r="130" spans="1:27" ht="23.25" customHeight="1" thickBot="1">
      <c r="A130" s="394" t="s">
        <v>571</v>
      </c>
      <c r="B130" s="396">
        <f t="shared" si="10"/>
        <v>1097</v>
      </c>
      <c r="C130" s="561">
        <v>0</v>
      </c>
      <c r="D130" s="518">
        <v>173</v>
      </c>
      <c r="E130" s="364">
        <v>38</v>
      </c>
      <c r="F130" s="561">
        <v>0</v>
      </c>
      <c r="G130" s="440">
        <v>492</v>
      </c>
      <c r="H130" s="440">
        <v>149</v>
      </c>
      <c r="I130" s="561">
        <v>0</v>
      </c>
      <c r="J130" s="564">
        <v>0</v>
      </c>
      <c r="K130" s="174"/>
      <c r="L130" s="174"/>
      <c r="M130" s="174"/>
      <c r="N130" s="174"/>
      <c r="O130" s="174"/>
      <c r="T130" s="174"/>
      <c r="U130" s="174"/>
      <c r="V130" s="174"/>
      <c r="W130" s="174"/>
      <c r="X130" s="174"/>
      <c r="Y130" s="174"/>
      <c r="Z130" s="174"/>
      <c r="AA130" s="174"/>
    </row>
    <row r="131" spans="1:27" ht="26.25" customHeight="1" thickBot="1">
      <c r="A131" s="403" t="s">
        <v>572</v>
      </c>
      <c r="B131" s="404">
        <f>SUM(B117:B130)</f>
        <v>32276</v>
      </c>
      <c r="C131" s="404">
        <f>SUM(C117:C130)</f>
        <v>0</v>
      </c>
      <c r="D131" s="404">
        <f>SUM(D117:D130)</f>
        <v>8511</v>
      </c>
      <c r="E131" s="493">
        <f aca="true" t="shared" si="11" ref="E131:J131">SUM(E117:E130)</f>
        <v>1773</v>
      </c>
      <c r="F131" s="493">
        <f t="shared" si="11"/>
        <v>0</v>
      </c>
      <c r="G131" s="404">
        <f t="shared" si="11"/>
        <v>2492</v>
      </c>
      <c r="H131" s="405">
        <f t="shared" si="11"/>
        <v>7336</v>
      </c>
      <c r="I131" s="405">
        <f t="shared" si="11"/>
        <v>0</v>
      </c>
      <c r="J131" s="406">
        <f t="shared" si="11"/>
        <v>0</v>
      </c>
      <c r="K131" s="174"/>
      <c r="L131" s="174"/>
      <c r="M131" s="174"/>
      <c r="N131" s="174"/>
      <c r="O131" s="174"/>
      <c r="T131" s="174"/>
      <c r="U131" s="174"/>
      <c r="V131" s="174"/>
      <c r="W131" s="174"/>
      <c r="X131" s="174"/>
      <c r="Y131" s="174"/>
      <c r="Z131" s="174"/>
      <c r="AA131" s="174"/>
    </row>
    <row r="132" spans="1:27" ht="16.5" customHeight="1" thickBot="1">
      <c r="A132" s="832" t="s">
        <v>577</v>
      </c>
      <c r="B132" s="833"/>
      <c r="C132" s="833"/>
      <c r="D132" s="833"/>
      <c r="E132" s="833"/>
      <c r="F132" s="833"/>
      <c r="G132" s="833"/>
      <c r="H132" s="833"/>
      <c r="I132" s="833"/>
      <c r="J132" s="834"/>
      <c r="K132" s="174"/>
      <c r="L132" s="174"/>
      <c r="M132" s="174"/>
      <c r="N132" s="174"/>
      <c r="O132" s="174"/>
      <c r="T132" s="174"/>
      <c r="U132" s="174"/>
      <c r="V132" s="174"/>
      <c r="W132" s="174"/>
      <c r="X132" s="174"/>
      <c r="Y132" s="174"/>
      <c r="Z132" s="174"/>
      <c r="AA132" s="174"/>
    </row>
    <row r="133" spans="1:27" ht="23.25" customHeight="1" thickBot="1">
      <c r="A133" s="470" t="s">
        <v>12</v>
      </c>
      <c r="B133" s="469">
        <f>ROUND(C133+D133+G133+H133*2.9+J133*$L$1+I133,0)+1</f>
        <v>19020</v>
      </c>
      <c r="C133" s="471">
        <v>0</v>
      </c>
      <c r="D133" s="472">
        <v>5355</v>
      </c>
      <c r="E133" s="496">
        <v>400</v>
      </c>
      <c r="F133" s="495"/>
      <c r="G133" s="416">
        <v>0</v>
      </c>
      <c r="H133" s="440">
        <v>4616</v>
      </c>
      <c r="I133" s="440">
        <v>0</v>
      </c>
      <c r="J133" s="440">
        <f>'1.2. Диспансерное наблюдение'!G14</f>
        <v>278</v>
      </c>
      <c r="K133" s="174"/>
      <c r="L133" s="174"/>
      <c r="M133" s="174"/>
      <c r="N133" s="174"/>
      <c r="O133" s="174"/>
      <c r="T133" s="174"/>
      <c r="U133" s="174"/>
      <c r="V133" s="174"/>
      <c r="W133" s="174"/>
      <c r="X133" s="174"/>
      <c r="Y133" s="174"/>
      <c r="Z133" s="174"/>
      <c r="AA133" s="174"/>
    </row>
    <row r="134" spans="1:27" ht="18.75" customHeight="1">
      <c r="A134" s="835" t="s">
        <v>576</v>
      </c>
      <c r="B134" s="836"/>
      <c r="C134" s="836"/>
      <c r="D134" s="836"/>
      <c r="E134" s="836"/>
      <c r="F134" s="836"/>
      <c r="G134" s="836"/>
      <c r="H134" s="836"/>
      <c r="I134" s="836"/>
      <c r="J134" s="837"/>
      <c r="K134" s="174"/>
      <c r="L134" s="174"/>
      <c r="M134" s="174"/>
      <c r="N134" s="174"/>
      <c r="O134" s="174"/>
      <c r="T134" s="174"/>
      <c r="U134" s="174"/>
      <c r="V134" s="174"/>
      <c r="W134" s="174"/>
      <c r="X134" s="174"/>
      <c r="Y134" s="174"/>
      <c r="Z134" s="174"/>
      <c r="AA134" s="174"/>
    </row>
    <row r="135" spans="1:27" ht="18.75" customHeight="1">
      <c r="A135" s="393" t="s">
        <v>36</v>
      </c>
      <c r="B135" s="396">
        <f>ROUND(C135+D135+G135+H135*2.9+J135*$L$1+I135,0)+1</f>
        <v>2939</v>
      </c>
      <c r="C135" s="346">
        <v>0</v>
      </c>
      <c r="D135" s="518">
        <v>827</v>
      </c>
      <c r="E135" s="364"/>
      <c r="F135" s="364"/>
      <c r="G135" s="561">
        <v>0</v>
      </c>
      <c r="H135" s="530">
        <v>712</v>
      </c>
      <c r="I135" s="561">
        <v>0</v>
      </c>
      <c r="J135" s="397">
        <f>'1.2. Диспансерное наблюдение'!F9</f>
        <v>46</v>
      </c>
      <c r="K135" s="174"/>
      <c r="L135" s="174"/>
      <c r="M135" s="174"/>
      <c r="N135" s="174"/>
      <c r="O135" s="174"/>
      <c r="T135" s="174"/>
      <c r="U135" s="174"/>
      <c r="V135" s="174"/>
      <c r="W135" s="174"/>
      <c r="X135" s="174"/>
      <c r="Y135" s="174"/>
      <c r="Z135" s="174"/>
      <c r="AA135" s="174"/>
    </row>
    <row r="136" spans="1:27" ht="17.25" customHeight="1">
      <c r="A136" s="394" t="s">
        <v>5</v>
      </c>
      <c r="B136" s="396">
        <f>ROUND(C136+D136+G136+H136*2.9+J136*$L$1+I136,0)</f>
        <v>16861</v>
      </c>
      <c r="C136" s="346">
        <v>0</v>
      </c>
      <c r="D136" s="518">
        <v>3552</v>
      </c>
      <c r="E136" s="364"/>
      <c r="F136" s="364"/>
      <c r="G136" s="561">
        <v>0</v>
      </c>
      <c r="H136" s="530">
        <v>3028</v>
      </c>
      <c r="I136" s="561">
        <v>0</v>
      </c>
      <c r="J136" s="397">
        <f>'1.2. Диспансерное наблюдение'!$F$34</f>
        <v>4528</v>
      </c>
      <c r="K136" s="174"/>
      <c r="L136" s="174"/>
      <c r="M136" s="174"/>
      <c r="N136" s="174"/>
      <c r="O136" s="174"/>
      <c r="T136" s="174"/>
      <c r="U136" s="174"/>
      <c r="V136" s="174"/>
      <c r="W136" s="174"/>
      <c r="X136" s="174"/>
      <c r="Y136" s="174"/>
      <c r="Z136" s="174"/>
      <c r="AA136" s="174"/>
    </row>
    <row r="137" spans="1:27" ht="20.25" customHeight="1" thickBot="1">
      <c r="A137" s="395" t="s">
        <v>0</v>
      </c>
      <c r="B137" s="400">
        <f>ROUND(C137+D137+G137+H137*2.9+J137*$L$1+I137,0)</f>
        <v>1038</v>
      </c>
      <c r="C137" s="346">
        <v>0</v>
      </c>
      <c r="D137" s="401">
        <v>296</v>
      </c>
      <c r="E137" s="494"/>
      <c r="F137" s="494"/>
      <c r="G137" s="561">
        <v>0</v>
      </c>
      <c r="H137" s="531">
        <v>256</v>
      </c>
      <c r="I137" s="561">
        <v>0</v>
      </c>
      <c r="J137" s="402">
        <v>0</v>
      </c>
      <c r="K137" s="174"/>
      <c r="L137" s="174"/>
      <c r="M137" s="174"/>
      <c r="N137" s="174"/>
      <c r="O137" s="174"/>
      <c r="T137" s="174"/>
      <c r="U137" s="174"/>
      <c r="V137" s="174"/>
      <c r="W137" s="174"/>
      <c r="X137" s="174"/>
      <c r="Y137" s="174"/>
      <c r="Z137" s="174"/>
      <c r="AA137" s="174"/>
    </row>
    <row r="138" spans="1:27" ht="18.75" customHeight="1" thickBot="1">
      <c r="A138" s="403" t="s">
        <v>192</v>
      </c>
      <c r="B138" s="404">
        <f aca="true" t="shared" si="12" ref="B138:J138">B137+B135+B136</f>
        <v>20838</v>
      </c>
      <c r="C138" s="404">
        <f t="shared" si="12"/>
        <v>0</v>
      </c>
      <c r="D138" s="404">
        <f t="shared" si="12"/>
        <v>4675</v>
      </c>
      <c r="E138" s="493">
        <f t="shared" si="12"/>
        <v>0</v>
      </c>
      <c r="F138" s="493"/>
      <c r="G138" s="404">
        <f t="shared" si="12"/>
        <v>0</v>
      </c>
      <c r="H138" s="405">
        <f t="shared" si="12"/>
        <v>3996</v>
      </c>
      <c r="I138" s="405">
        <f t="shared" si="12"/>
        <v>0</v>
      </c>
      <c r="J138" s="406">
        <f t="shared" si="12"/>
        <v>4574</v>
      </c>
      <c r="K138" s="174"/>
      <c r="L138" s="174"/>
      <c r="M138" s="174"/>
      <c r="N138" s="174"/>
      <c r="O138" s="174"/>
      <c r="T138" s="174"/>
      <c r="U138" s="174"/>
      <c r="V138" s="174"/>
      <c r="W138" s="174"/>
      <c r="X138" s="174"/>
      <c r="Y138" s="174"/>
      <c r="Z138" s="174"/>
      <c r="AA138" s="174"/>
    </row>
    <row r="139" spans="1:27" ht="18.75" customHeight="1">
      <c r="A139" s="835" t="s">
        <v>575</v>
      </c>
      <c r="B139" s="836"/>
      <c r="C139" s="836"/>
      <c r="D139" s="836"/>
      <c r="E139" s="836"/>
      <c r="F139" s="836"/>
      <c r="G139" s="836"/>
      <c r="H139" s="836"/>
      <c r="I139" s="836"/>
      <c r="J139" s="837"/>
      <c r="K139" s="174"/>
      <c r="L139" s="174"/>
      <c r="M139" s="174"/>
      <c r="N139" s="174"/>
      <c r="O139" s="174"/>
      <c r="T139" s="174"/>
      <c r="U139" s="174"/>
      <c r="V139" s="174"/>
      <c r="W139" s="174"/>
      <c r="X139" s="174"/>
      <c r="Y139" s="174"/>
      <c r="Z139" s="174"/>
      <c r="AA139" s="174"/>
    </row>
    <row r="140" spans="1:27" s="216" customFormat="1" ht="25.5" customHeight="1">
      <c r="A140" s="420" t="s">
        <v>530</v>
      </c>
      <c r="B140" s="396">
        <f>ROUND(C140+D140+G140+H140*2.9+J140*$L$1+I140,0)</f>
        <v>3989</v>
      </c>
      <c r="C140" s="416">
        <v>0</v>
      </c>
      <c r="D140" s="421">
        <v>1211</v>
      </c>
      <c r="E140" s="499">
        <v>401</v>
      </c>
      <c r="F140" s="499"/>
      <c r="G140" s="421">
        <v>0</v>
      </c>
      <c r="H140" s="422">
        <v>958</v>
      </c>
      <c r="I140" s="473">
        <v>0</v>
      </c>
      <c r="J140" s="423">
        <f>'1.2. Диспансерное наблюдение'!F14</f>
        <v>0</v>
      </c>
      <c r="K140" s="215"/>
      <c r="L140" s="215"/>
      <c r="M140" s="215"/>
      <c r="N140" s="215"/>
      <c r="O140" s="215"/>
      <c r="T140" s="215"/>
      <c r="U140" s="215"/>
      <c r="V140" s="215"/>
      <c r="W140" s="215"/>
      <c r="X140" s="215"/>
      <c r="Y140" s="215"/>
      <c r="Z140" s="215"/>
      <c r="AA140" s="215"/>
    </row>
    <row r="141" spans="1:27" s="183" customFormat="1" ht="47.25" customHeight="1" thickBot="1">
      <c r="A141" s="562" t="s">
        <v>574</v>
      </c>
      <c r="B141" s="572">
        <f>ROUND(C141+D141*5+G141+H141*2.9+J141*$L$1+I141,0)</f>
        <v>100</v>
      </c>
      <c r="C141" s="346">
        <v>0</v>
      </c>
      <c r="D141" s="516">
        <v>20</v>
      </c>
      <c r="E141" s="573"/>
      <c r="F141" s="573"/>
      <c r="G141" s="346">
        <v>0</v>
      </c>
      <c r="H141" s="346">
        <v>0</v>
      </c>
      <c r="I141" s="346">
        <v>0</v>
      </c>
      <c r="J141" s="325">
        <v>0</v>
      </c>
      <c r="K141" s="468">
        <f aca="true" t="shared" si="13" ref="K141:Q141">B142+B133+B131</f>
        <v>55285</v>
      </c>
      <c r="L141" s="468">
        <f t="shared" si="13"/>
        <v>0</v>
      </c>
      <c r="M141" s="468">
        <f t="shared" si="13"/>
        <v>15077</v>
      </c>
      <c r="N141" s="468">
        <f t="shared" si="13"/>
        <v>2574</v>
      </c>
      <c r="O141" s="468">
        <f t="shared" si="13"/>
        <v>0</v>
      </c>
      <c r="P141" s="468">
        <f t="shared" si="13"/>
        <v>2492</v>
      </c>
      <c r="Q141" s="468">
        <f t="shared" si="13"/>
        <v>12910</v>
      </c>
      <c r="T141" s="468"/>
      <c r="U141" s="468"/>
      <c r="V141" s="468"/>
      <c r="W141" s="468"/>
      <c r="X141" s="468"/>
      <c r="Y141" s="468"/>
      <c r="Z141" s="468"/>
      <c r="AA141" s="468"/>
    </row>
    <row r="142" spans="1:27" s="183" customFormat="1" ht="34.5" customHeight="1" thickBot="1">
      <c r="A142" s="403" t="s">
        <v>562</v>
      </c>
      <c r="B142" s="404">
        <f>B140</f>
        <v>3989</v>
      </c>
      <c r="C142" s="404">
        <f>C140</f>
        <v>0</v>
      </c>
      <c r="D142" s="404">
        <f>D140</f>
        <v>1211</v>
      </c>
      <c r="E142" s="493">
        <f>E140</f>
        <v>401</v>
      </c>
      <c r="F142" s="493"/>
      <c r="G142" s="404">
        <f>G140</f>
        <v>0</v>
      </c>
      <c r="H142" s="405">
        <f>H140</f>
        <v>958</v>
      </c>
      <c r="I142" s="405">
        <f>I140</f>
        <v>0</v>
      </c>
      <c r="J142" s="406">
        <f>J140</f>
        <v>0</v>
      </c>
      <c r="K142" s="514">
        <f>K143-B143</f>
        <v>0</v>
      </c>
      <c r="L142" s="468"/>
      <c r="M142" s="468"/>
      <c r="N142" s="468"/>
      <c r="O142" s="468"/>
      <c r="T142" s="468"/>
      <c r="U142" s="468"/>
      <c r="V142" s="468"/>
      <c r="W142" s="468"/>
      <c r="X142" s="468"/>
      <c r="Y142" s="468"/>
      <c r="Z142" s="468"/>
      <c r="AA142" s="468"/>
    </row>
    <row r="143" spans="1:28" ht="30.75" customHeight="1" thickBot="1">
      <c r="A143" s="661" t="s">
        <v>529</v>
      </c>
      <c r="B143" s="662">
        <f>B138+B115+B133+B142+B131</f>
        <v>400013</v>
      </c>
      <c r="C143" s="662">
        <f>C138+C115+C133+C142+C131</f>
        <v>50791</v>
      </c>
      <c r="D143" s="662">
        <f aca="true" t="shared" si="14" ref="D143:J143">D138+D115+D133+D142+D131</f>
        <v>71389</v>
      </c>
      <c r="E143" s="663">
        <f t="shared" si="14"/>
        <v>8346</v>
      </c>
      <c r="F143" s="663">
        <f t="shared" si="14"/>
        <v>0</v>
      </c>
      <c r="G143" s="662">
        <f t="shared" si="14"/>
        <v>13422</v>
      </c>
      <c r="H143" s="662">
        <f t="shared" si="14"/>
        <v>85705</v>
      </c>
      <c r="I143" s="662">
        <f t="shared" si="14"/>
        <v>0</v>
      </c>
      <c r="J143" s="664">
        <f t="shared" si="14"/>
        <v>15862</v>
      </c>
      <c r="K143" s="475">
        <v>400013</v>
      </c>
      <c r="L143" s="475">
        <f>25755+27779-1903-54-253</f>
        <v>51324</v>
      </c>
      <c r="M143" s="475">
        <v>71389</v>
      </c>
      <c r="N143" s="476">
        <v>13422</v>
      </c>
      <c r="O143" s="475">
        <v>85705</v>
      </c>
      <c r="P143" s="476">
        <v>0</v>
      </c>
      <c r="Q143" s="476">
        <v>15862</v>
      </c>
      <c r="R143" s="216"/>
      <c r="S143" s="216"/>
      <c r="T143" s="215"/>
      <c r="U143" s="215"/>
      <c r="V143" s="215"/>
      <c r="W143" s="215"/>
      <c r="X143" s="215"/>
      <c r="Y143" s="215"/>
      <c r="Z143" s="215"/>
      <c r="AA143" s="215"/>
      <c r="AB143" s="216"/>
    </row>
    <row r="144" spans="1:27" s="196" customFormat="1" ht="51.75" customHeight="1">
      <c r="A144" s="562" t="s">
        <v>566</v>
      </c>
      <c r="B144" s="199">
        <f aca="true" t="shared" si="15" ref="B144:B151">ROUND(C144+D144+G144+H144*2.9+J144*$L$1+I144,0)</f>
        <v>50791</v>
      </c>
      <c r="C144" s="563">
        <f aca="true" t="shared" si="16" ref="C144:C151">C16+C30+C40+C49+C58+C67+C77+C86+C95+C106</f>
        <v>50791</v>
      </c>
      <c r="D144" s="346">
        <v>0</v>
      </c>
      <c r="E144" s="438">
        <f aca="true" t="shared" si="17" ref="E144:F151">E16+E30+E40+E49+E58+E67+E77+E86+E95+E106</f>
        <v>0</v>
      </c>
      <c r="F144" s="504">
        <f t="shared" si="17"/>
        <v>0</v>
      </c>
      <c r="G144" s="561">
        <v>0</v>
      </c>
      <c r="H144" s="346">
        <v>0</v>
      </c>
      <c r="I144" s="561">
        <v>0</v>
      </c>
      <c r="J144" s="564">
        <v>0</v>
      </c>
      <c r="K144" s="474">
        <f>K143-B143</f>
        <v>0</v>
      </c>
      <c r="L144" s="474">
        <f>L143-C143</f>
        <v>533</v>
      </c>
      <c r="M144" s="474">
        <f>M143-D143</f>
        <v>0</v>
      </c>
      <c r="N144" s="474">
        <f>N143-G143</f>
        <v>0</v>
      </c>
      <c r="O144" s="474">
        <f>O143-H143</f>
        <v>0</v>
      </c>
      <c r="P144" s="474">
        <f>P143-I143</f>
        <v>0</v>
      </c>
      <c r="Q144" s="474">
        <f>Q143-J143</f>
        <v>0</v>
      </c>
      <c r="T144" s="197"/>
      <c r="U144" s="197"/>
      <c r="V144" s="197"/>
      <c r="W144" s="197"/>
      <c r="X144" s="197"/>
      <c r="Y144" s="197"/>
      <c r="Z144" s="197"/>
      <c r="AA144" s="197"/>
    </row>
    <row r="145" spans="1:27" s="196" customFormat="1" ht="42" customHeight="1">
      <c r="A145" s="565" t="s">
        <v>560</v>
      </c>
      <c r="B145" s="199">
        <f t="shared" si="15"/>
        <v>23606</v>
      </c>
      <c r="C145" s="563">
        <f t="shared" si="16"/>
        <v>23606</v>
      </c>
      <c r="D145" s="346">
        <v>0</v>
      </c>
      <c r="E145" s="438">
        <f t="shared" si="17"/>
        <v>0</v>
      </c>
      <c r="F145" s="504">
        <f t="shared" si="17"/>
        <v>0</v>
      </c>
      <c r="G145" s="561">
        <v>0</v>
      </c>
      <c r="H145" s="346">
        <v>0</v>
      </c>
      <c r="I145" s="561">
        <v>0</v>
      </c>
      <c r="J145" s="564">
        <v>0</v>
      </c>
      <c r="K145" s="474">
        <f>26349-307-1903</f>
        <v>24139</v>
      </c>
      <c r="L145" s="474">
        <f aca="true" t="shared" si="18" ref="L145:L152">K145-B145</f>
        <v>533</v>
      </c>
      <c r="M145" s="197"/>
      <c r="N145" s="197"/>
      <c r="O145" s="197"/>
      <c r="T145" s="197"/>
      <c r="U145" s="197"/>
      <c r="V145" s="197"/>
      <c r="W145" s="197"/>
      <c r="X145" s="197"/>
      <c r="Y145" s="197"/>
      <c r="Z145" s="197"/>
      <c r="AA145" s="197"/>
    </row>
    <row r="146" spans="1:27" s="196" customFormat="1" ht="33.75" customHeight="1">
      <c r="A146" s="565" t="s">
        <v>519</v>
      </c>
      <c r="B146" s="574">
        <f t="shared" si="15"/>
        <v>1976</v>
      </c>
      <c r="C146" s="563">
        <f t="shared" si="16"/>
        <v>1976</v>
      </c>
      <c r="D146" s="346">
        <v>0</v>
      </c>
      <c r="E146" s="438">
        <f t="shared" si="17"/>
        <v>0</v>
      </c>
      <c r="F146" s="504">
        <f t="shared" si="17"/>
        <v>0</v>
      </c>
      <c r="G146" s="561">
        <v>0</v>
      </c>
      <c r="H146" s="346">
        <v>0</v>
      </c>
      <c r="I146" s="561">
        <v>0</v>
      </c>
      <c r="J146" s="564">
        <v>0</v>
      </c>
      <c r="K146" s="474">
        <v>1976</v>
      </c>
      <c r="L146" s="474">
        <f t="shared" si="18"/>
        <v>0</v>
      </c>
      <c r="M146" s="197"/>
      <c r="N146" s="197"/>
      <c r="O146" s="197"/>
      <c r="T146" s="197"/>
      <c r="U146" s="197"/>
      <c r="V146" s="197"/>
      <c r="W146" s="197"/>
      <c r="X146" s="197"/>
      <c r="Y146" s="197"/>
      <c r="Z146" s="197"/>
      <c r="AA146" s="197"/>
    </row>
    <row r="147" spans="1:27" s="196" customFormat="1" ht="30.75" customHeight="1">
      <c r="A147" s="565" t="s">
        <v>520</v>
      </c>
      <c r="B147" s="574">
        <f t="shared" si="15"/>
        <v>767</v>
      </c>
      <c r="C147" s="563">
        <f t="shared" si="16"/>
        <v>767</v>
      </c>
      <c r="D147" s="346">
        <v>0</v>
      </c>
      <c r="E147" s="438">
        <f t="shared" si="17"/>
        <v>0</v>
      </c>
      <c r="F147" s="504">
        <f t="shared" si="17"/>
        <v>0</v>
      </c>
      <c r="G147" s="561">
        <v>0</v>
      </c>
      <c r="H147" s="346">
        <v>0</v>
      </c>
      <c r="I147" s="561">
        <v>0</v>
      </c>
      <c r="J147" s="564">
        <v>0</v>
      </c>
      <c r="K147" s="474">
        <f>631+136</f>
        <v>767</v>
      </c>
      <c r="L147" s="474">
        <f>K147-B147</f>
        <v>0</v>
      </c>
      <c r="M147" s="197"/>
      <c r="N147" s="197"/>
      <c r="O147" s="197"/>
      <c r="T147" s="197"/>
      <c r="U147" s="197"/>
      <c r="V147" s="197"/>
      <c r="W147" s="197"/>
      <c r="X147" s="197"/>
      <c r="Y147" s="197"/>
      <c r="Z147" s="197"/>
      <c r="AA147" s="197"/>
    </row>
    <row r="148" spans="1:27" s="196" customFormat="1" ht="30" customHeight="1">
      <c r="A148" s="565" t="s">
        <v>521</v>
      </c>
      <c r="B148" s="199">
        <f t="shared" si="15"/>
        <v>6729</v>
      </c>
      <c r="C148" s="563">
        <f t="shared" si="16"/>
        <v>6729</v>
      </c>
      <c r="D148" s="346">
        <v>0</v>
      </c>
      <c r="E148" s="438">
        <f t="shared" si="17"/>
        <v>0</v>
      </c>
      <c r="F148" s="504">
        <f t="shared" si="17"/>
        <v>0</v>
      </c>
      <c r="G148" s="561">
        <v>0</v>
      </c>
      <c r="H148" s="346">
        <v>0</v>
      </c>
      <c r="I148" s="561">
        <v>0</v>
      </c>
      <c r="J148" s="564">
        <v>0</v>
      </c>
      <c r="K148" s="474">
        <v>6729</v>
      </c>
      <c r="L148" s="474">
        <f t="shared" si="18"/>
        <v>0</v>
      </c>
      <c r="M148" s="197"/>
      <c r="N148" s="197"/>
      <c r="O148" s="197"/>
      <c r="T148" s="197"/>
      <c r="U148" s="197"/>
      <c r="V148" s="197"/>
      <c r="W148" s="197"/>
      <c r="X148" s="197"/>
      <c r="Y148" s="197"/>
      <c r="Z148" s="197"/>
      <c r="AA148" s="197"/>
    </row>
    <row r="149" spans="1:27" s="196" customFormat="1" ht="30" customHeight="1">
      <c r="A149" s="566" t="s">
        <v>135</v>
      </c>
      <c r="B149" s="199">
        <f t="shared" si="15"/>
        <v>771</v>
      </c>
      <c r="C149" s="563">
        <f t="shared" si="16"/>
        <v>771</v>
      </c>
      <c r="D149" s="346">
        <v>0</v>
      </c>
      <c r="E149" s="438">
        <f t="shared" si="17"/>
        <v>0</v>
      </c>
      <c r="F149" s="504">
        <f t="shared" si="17"/>
        <v>0</v>
      </c>
      <c r="G149" s="561">
        <v>0</v>
      </c>
      <c r="H149" s="346">
        <v>0</v>
      </c>
      <c r="I149" s="561">
        <v>0</v>
      </c>
      <c r="J149" s="564">
        <v>0</v>
      </c>
      <c r="K149" s="474">
        <v>771</v>
      </c>
      <c r="L149" s="474">
        <f t="shared" si="18"/>
        <v>0</v>
      </c>
      <c r="M149" s="197"/>
      <c r="N149" s="197"/>
      <c r="O149" s="197"/>
      <c r="T149" s="197"/>
      <c r="U149" s="197"/>
      <c r="V149" s="197"/>
      <c r="W149" s="197"/>
      <c r="X149" s="197"/>
      <c r="Y149" s="197"/>
      <c r="Z149" s="197"/>
      <c r="AA149" s="197"/>
    </row>
    <row r="150" spans="1:27" s="196" customFormat="1" ht="46.5" customHeight="1">
      <c r="A150" s="565" t="s">
        <v>136</v>
      </c>
      <c r="B150" s="199">
        <f t="shared" si="15"/>
        <v>659</v>
      </c>
      <c r="C150" s="563">
        <f t="shared" si="16"/>
        <v>659</v>
      </c>
      <c r="D150" s="346">
        <v>0</v>
      </c>
      <c r="E150" s="438">
        <f t="shared" si="17"/>
        <v>0</v>
      </c>
      <c r="F150" s="504">
        <f t="shared" si="17"/>
        <v>0</v>
      </c>
      <c r="G150" s="561">
        <v>0</v>
      </c>
      <c r="H150" s="346">
        <v>0</v>
      </c>
      <c r="I150" s="561">
        <v>0</v>
      </c>
      <c r="J150" s="564">
        <v>0</v>
      </c>
      <c r="K150" s="474">
        <v>659</v>
      </c>
      <c r="L150" s="474">
        <f t="shared" si="18"/>
        <v>0</v>
      </c>
      <c r="M150" s="197"/>
      <c r="N150" s="197"/>
      <c r="O150" s="197"/>
      <c r="T150" s="197"/>
      <c r="U150" s="197"/>
      <c r="V150" s="197"/>
      <c r="W150" s="197"/>
      <c r="X150" s="197"/>
      <c r="Y150" s="197"/>
      <c r="Z150" s="197"/>
      <c r="AA150" s="197"/>
    </row>
    <row r="151" spans="1:27" s="196" customFormat="1" ht="39" customHeight="1">
      <c r="A151" s="565" t="s">
        <v>137</v>
      </c>
      <c r="B151" s="199">
        <f t="shared" si="15"/>
        <v>19026</v>
      </c>
      <c r="C151" s="563">
        <f t="shared" si="16"/>
        <v>19026</v>
      </c>
      <c r="D151" s="346">
        <v>0</v>
      </c>
      <c r="E151" s="438">
        <f t="shared" si="17"/>
        <v>0</v>
      </c>
      <c r="F151" s="504">
        <f t="shared" si="17"/>
        <v>0</v>
      </c>
      <c r="G151" s="561">
        <v>0</v>
      </c>
      <c r="H151" s="346">
        <v>0</v>
      </c>
      <c r="I151" s="561">
        <v>0</v>
      </c>
      <c r="J151" s="564">
        <v>0</v>
      </c>
      <c r="K151" s="474">
        <v>19026</v>
      </c>
      <c r="L151" s="474">
        <f t="shared" si="18"/>
        <v>0</v>
      </c>
      <c r="M151" s="197"/>
      <c r="N151" s="197"/>
      <c r="O151" s="197"/>
      <c r="T151" s="197"/>
      <c r="U151" s="197"/>
      <c r="V151" s="197"/>
      <c r="W151" s="197"/>
      <c r="X151" s="197"/>
      <c r="Y151" s="197"/>
      <c r="Z151" s="197"/>
      <c r="AA151" s="197"/>
    </row>
    <row r="152" spans="1:27" s="196" customFormat="1" ht="50.25" customHeight="1" thickBot="1">
      <c r="A152" s="562" t="s">
        <v>578</v>
      </c>
      <c r="B152" s="199">
        <f>B141</f>
        <v>100</v>
      </c>
      <c r="C152" s="561">
        <v>0</v>
      </c>
      <c r="D152" s="218">
        <f>D141</f>
        <v>20</v>
      </c>
      <c r="E152" s="563">
        <v>0</v>
      </c>
      <c r="F152" s="575">
        <v>0</v>
      </c>
      <c r="G152" s="561">
        <v>0</v>
      </c>
      <c r="H152" s="346">
        <v>0</v>
      </c>
      <c r="I152" s="561">
        <v>0</v>
      </c>
      <c r="J152" s="564">
        <v>0</v>
      </c>
      <c r="K152" s="474">
        <v>100</v>
      </c>
      <c r="L152" s="474">
        <f t="shared" si="18"/>
        <v>0</v>
      </c>
      <c r="M152" s="197"/>
      <c r="N152" s="197"/>
      <c r="O152" s="197"/>
      <c r="T152" s="197"/>
      <c r="U152" s="197"/>
      <c r="V152" s="197"/>
      <c r="W152" s="197"/>
      <c r="X152" s="197"/>
      <c r="Y152" s="197"/>
      <c r="Z152" s="197"/>
      <c r="AA152" s="197"/>
    </row>
    <row r="153" spans="1:15" ht="25.5" customHeight="1">
      <c r="A153" s="838" t="s">
        <v>527</v>
      </c>
      <c r="B153" s="839"/>
      <c r="C153" s="839"/>
      <c r="D153" s="839"/>
      <c r="E153" s="839"/>
      <c r="F153" s="839"/>
      <c r="G153" s="839"/>
      <c r="H153" s="839"/>
      <c r="I153" s="839"/>
      <c r="J153" s="840"/>
      <c r="K153" s="215"/>
      <c r="L153" s="215"/>
      <c r="M153" s="215"/>
      <c r="N153" s="215"/>
      <c r="O153" s="215"/>
    </row>
    <row r="154" spans="1:21" ht="30.75" customHeight="1">
      <c r="A154" s="427" t="s">
        <v>531</v>
      </c>
      <c r="B154" s="399">
        <f aca="true" t="shared" si="19" ref="B154:B223">ROUND(C154+D154+G154+H154*2.9+J154*$L$1+I154,0)</f>
        <v>35011</v>
      </c>
      <c r="C154" s="417">
        <f>C155</f>
        <v>3067</v>
      </c>
      <c r="D154" s="417">
        <v>14925</v>
      </c>
      <c r="E154" s="489">
        <v>0</v>
      </c>
      <c r="F154" s="489">
        <f>F155</f>
        <v>2960</v>
      </c>
      <c r="G154" s="418">
        <v>1140</v>
      </c>
      <c r="H154" s="418">
        <v>5301</v>
      </c>
      <c r="I154" s="418">
        <v>0</v>
      </c>
      <c r="J154" s="423">
        <f>'1.2. Диспансерное наблюдение'!C9</f>
        <v>506</v>
      </c>
      <c r="L154" s="349"/>
      <c r="M154" s="174"/>
      <c r="N154" s="174"/>
      <c r="O154" s="174"/>
      <c r="S154" s="174"/>
      <c r="U154" s="174"/>
    </row>
    <row r="155" spans="1:27" s="196" customFormat="1" ht="44.25" customHeight="1">
      <c r="A155" s="562" t="s">
        <v>566</v>
      </c>
      <c r="B155" s="199">
        <f>B156+B159+B160+B161+B162</f>
        <v>3067</v>
      </c>
      <c r="C155" s="563">
        <f>SUM(C156:C162)</f>
        <v>3067</v>
      </c>
      <c r="D155" s="346">
        <v>0</v>
      </c>
      <c r="E155" s="561">
        <v>0</v>
      </c>
      <c r="F155" s="571">
        <v>2960</v>
      </c>
      <c r="G155" s="561">
        <v>0</v>
      </c>
      <c r="H155" s="346">
        <v>0</v>
      </c>
      <c r="I155" s="561">
        <v>0</v>
      </c>
      <c r="J155" s="564">
        <v>0</v>
      </c>
      <c r="K155" s="197"/>
      <c r="L155" s="197"/>
      <c r="M155" s="197"/>
      <c r="N155" s="197"/>
      <c r="O155" s="197"/>
      <c r="T155" s="197"/>
      <c r="U155" s="197"/>
      <c r="V155" s="197"/>
      <c r="W155" s="197"/>
      <c r="X155" s="197"/>
      <c r="Y155" s="197"/>
      <c r="Z155" s="197"/>
      <c r="AA155" s="197"/>
    </row>
    <row r="156" spans="1:27" s="196" customFormat="1" ht="45.75" customHeight="1">
      <c r="A156" s="565" t="s">
        <v>345</v>
      </c>
      <c r="B156" s="199">
        <f t="shared" si="19"/>
        <v>0</v>
      </c>
      <c r="C156" s="563">
        <v>0</v>
      </c>
      <c r="D156" s="346">
        <v>0</v>
      </c>
      <c r="E156" s="561">
        <v>0</v>
      </c>
      <c r="F156" s="571">
        <v>2960</v>
      </c>
      <c r="G156" s="561">
        <v>0</v>
      </c>
      <c r="H156" s="346">
        <v>0</v>
      </c>
      <c r="I156" s="561">
        <v>0</v>
      </c>
      <c r="J156" s="564">
        <v>0</v>
      </c>
      <c r="K156" s="197"/>
      <c r="L156" s="197"/>
      <c r="M156" s="197"/>
      <c r="N156" s="197"/>
      <c r="O156" s="197"/>
      <c r="T156" s="197"/>
      <c r="U156" s="197"/>
      <c r="V156" s="197"/>
      <c r="W156" s="197"/>
      <c r="X156" s="197"/>
      <c r="Y156" s="197"/>
      <c r="Z156" s="197"/>
      <c r="AA156" s="197"/>
    </row>
    <row r="157" spans="1:27" s="196" customFormat="1" ht="24" customHeight="1">
      <c r="A157" s="565" t="s">
        <v>519</v>
      </c>
      <c r="B157" s="199">
        <f t="shared" si="19"/>
        <v>0</v>
      </c>
      <c r="C157" s="563">
        <v>0</v>
      </c>
      <c r="D157" s="346">
        <v>0</v>
      </c>
      <c r="E157" s="561">
        <v>0</v>
      </c>
      <c r="F157" s="561">
        <v>0</v>
      </c>
      <c r="G157" s="561">
        <v>0</v>
      </c>
      <c r="H157" s="346">
        <v>0</v>
      </c>
      <c r="I157" s="561">
        <v>0</v>
      </c>
      <c r="J157" s="564">
        <v>0</v>
      </c>
      <c r="K157" s="197"/>
      <c r="L157" s="197"/>
      <c r="M157" s="197"/>
      <c r="N157" s="197"/>
      <c r="O157" s="197"/>
      <c r="T157" s="197"/>
      <c r="U157" s="197"/>
      <c r="V157" s="197"/>
      <c r="W157" s="197"/>
      <c r="X157" s="197"/>
      <c r="Y157" s="197"/>
      <c r="Z157" s="197"/>
      <c r="AA157" s="197"/>
    </row>
    <row r="158" spans="1:27" s="196" customFormat="1" ht="24" customHeight="1">
      <c r="A158" s="565" t="s">
        <v>520</v>
      </c>
      <c r="B158" s="199">
        <f t="shared" si="19"/>
        <v>0</v>
      </c>
      <c r="C158" s="563">
        <v>0</v>
      </c>
      <c r="D158" s="346">
        <v>0</v>
      </c>
      <c r="E158" s="561">
        <v>0</v>
      </c>
      <c r="F158" s="571">
        <v>2960</v>
      </c>
      <c r="G158" s="561">
        <v>0</v>
      </c>
      <c r="H158" s="346">
        <v>0</v>
      </c>
      <c r="I158" s="561">
        <v>0</v>
      </c>
      <c r="J158" s="564">
        <v>0</v>
      </c>
      <c r="K158" s="197"/>
      <c r="L158" s="197"/>
      <c r="M158" s="197"/>
      <c r="N158" s="197"/>
      <c r="O158" s="197"/>
      <c r="T158" s="197"/>
      <c r="U158" s="197"/>
      <c r="V158" s="197"/>
      <c r="W158" s="197"/>
      <c r="X158" s="197"/>
      <c r="Y158" s="197"/>
      <c r="Z158" s="197"/>
      <c r="AA158" s="197"/>
    </row>
    <row r="159" spans="1:27" s="196" customFormat="1" ht="30" customHeight="1">
      <c r="A159" s="565" t="s">
        <v>521</v>
      </c>
      <c r="B159" s="199">
        <f t="shared" si="19"/>
        <v>0</v>
      </c>
      <c r="C159" s="563">
        <v>0</v>
      </c>
      <c r="D159" s="346">
        <v>0</v>
      </c>
      <c r="E159" s="561">
        <v>0</v>
      </c>
      <c r="F159" s="561">
        <v>0</v>
      </c>
      <c r="G159" s="561">
        <v>0</v>
      </c>
      <c r="H159" s="346">
        <v>0</v>
      </c>
      <c r="I159" s="561">
        <v>0</v>
      </c>
      <c r="J159" s="564">
        <v>0</v>
      </c>
      <c r="K159" s="197"/>
      <c r="L159" s="197"/>
      <c r="M159" s="197"/>
      <c r="N159" s="197"/>
      <c r="O159" s="197"/>
      <c r="T159" s="197"/>
      <c r="U159" s="197"/>
      <c r="V159" s="197"/>
      <c r="W159" s="197"/>
      <c r="X159" s="197"/>
      <c r="Y159" s="197"/>
      <c r="Z159" s="197"/>
      <c r="AA159" s="197"/>
    </row>
    <row r="160" spans="1:27" s="196" customFormat="1" ht="30" customHeight="1">
      <c r="A160" s="566" t="s">
        <v>135</v>
      </c>
      <c r="B160" s="199">
        <f t="shared" si="19"/>
        <v>61</v>
      </c>
      <c r="C160" s="563">
        <v>61</v>
      </c>
      <c r="D160" s="346">
        <v>0</v>
      </c>
      <c r="E160" s="561">
        <v>0</v>
      </c>
      <c r="F160" s="561">
        <v>0</v>
      </c>
      <c r="G160" s="561">
        <v>0</v>
      </c>
      <c r="H160" s="346">
        <v>0</v>
      </c>
      <c r="I160" s="561">
        <v>0</v>
      </c>
      <c r="J160" s="564">
        <v>0</v>
      </c>
      <c r="K160" s="197"/>
      <c r="L160" s="197"/>
      <c r="M160" s="197"/>
      <c r="N160" s="197"/>
      <c r="O160" s="197"/>
      <c r="T160" s="197"/>
      <c r="U160" s="197"/>
      <c r="V160" s="197"/>
      <c r="W160" s="197"/>
      <c r="X160" s="197"/>
      <c r="Y160" s="197"/>
      <c r="Z160" s="197"/>
      <c r="AA160" s="197"/>
    </row>
    <row r="161" spans="1:27" s="196" customFormat="1" ht="45" customHeight="1">
      <c r="A161" s="565" t="s">
        <v>136</v>
      </c>
      <c r="B161" s="199">
        <f t="shared" si="19"/>
        <v>50</v>
      </c>
      <c r="C161" s="563">
        <v>50</v>
      </c>
      <c r="D161" s="346">
        <v>0</v>
      </c>
      <c r="E161" s="561">
        <v>0</v>
      </c>
      <c r="F161" s="561">
        <v>0</v>
      </c>
      <c r="G161" s="561">
        <v>0</v>
      </c>
      <c r="H161" s="346">
        <v>0</v>
      </c>
      <c r="I161" s="561">
        <v>0</v>
      </c>
      <c r="J161" s="564">
        <v>0</v>
      </c>
      <c r="K161" s="197"/>
      <c r="L161" s="197"/>
      <c r="M161" s="197"/>
      <c r="N161" s="197"/>
      <c r="O161" s="197"/>
      <c r="T161" s="197"/>
      <c r="U161" s="197"/>
      <c r="V161" s="197"/>
      <c r="W161" s="197"/>
      <c r="X161" s="197"/>
      <c r="Y161" s="197"/>
      <c r="Z161" s="197"/>
      <c r="AA161" s="197"/>
    </row>
    <row r="162" spans="1:27" s="196" customFormat="1" ht="27.75" customHeight="1">
      <c r="A162" s="565" t="s">
        <v>535</v>
      </c>
      <c r="B162" s="199">
        <f t="shared" si="19"/>
        <v>2956</v>
      </c>
      <c r="C162" s="563">
        <v>2956</v>
      </c>
      <c r="D162" s="346">
        <v>0</v>
      </c>
      <c r="E162" s="561">
        <v>0</v>
      </c>
      <c r="F162" s="561">
        <v>0</v>
      </c>
      <c r="G162" s="561">
        <v>0</v>
      </c>
      <c r="H162" s="346">
        <v>0</v>
      </c>
      <c r="I162" s="561">
        <v>0</v>
      </c>
      <c r="J162" s="564">
        <v>0</v>
      </c>
      <c r="K162" s="197"/>
      <c r="L162" s="197"/>
      <c r="M162" s="197"/>
      <c r="N162" s="197"/>
      <c r="O162" s="197"/>
      <c r="T162" s="197"/>
      <c r="U162" s="197"/>
      <c r="V162" s="197"/>
      <c r="W162" s="197"/>
      <c r="X162" s="197"/>
      <c r="Y162" s="197"/>
      <c r="Z162" s="197"/>
      <c r="AA162" s="197"/>
    </row>
    <row r="163" spans="1:15" ht="33" customHeight="1">
      <c r="A163" s="420" t="s">
        <v>98</v>
      </c>
      <c r="B163" s="396">
        <f t="shared" si="19"/>
        <v>3111</v>
      </c>
      <c r="C163" s="416">
        <v>0</v>
      </c>
      <c r="D163" s="421">
        <v>888</v>
      </c>
      <c r="E163" s="489">
        <v>0</v>
      </c>
      <c r="F163" s="489">
        <v>0</v>
      </c>
      <c r="G163" s="418">
        <v>10</v>
      </c>
      <c r="H163" s="418">
        <v>763</v>
      </c>
      <c r="I163" s="418">
        <v>0</v>
      </c>
      <c r="J163" s="425">
        <v>0</v>
      </c>
      <c r="L163" s="349"/>
      <c r="M163" s="174"/>
      <c r="N163" s="174"/>
      <c r="O163" s="174"/>
    </row>
    <row r="164" spans="1:15" ht="33" customHeight="1">
      <c r="A164" s="420" t="s">
        <v>449</v>
      </c>
      <c r="B164" s="396">
        <f t="shared" si="19"/>
        <v>2075</v>
      </c>
      <c r="C164" s="416">
        <v>0</v>
      </c>
      <c r="D164" s="421">
        <v>2075</v>
      </c>
      <c r="E164" s="489">
        <v>0</v>
      </c>
      <c r="F164" s="489">
        <v>0</v>
      </c>
      <c r="G164" s="418">
        <v>0</v>
      </c>
      <c r="H164" s="418">
        <v>0</v>
      </c>
      <c r="I164" s="418">
        <v>0</v>
      </c>
      <c r="J164" s="425">
        <v>0</v>
      </c>
      <c r="L164" s="349"/>
      <c r="M164" s="174"/>
      <c r="N164" s="174"/>
      <c r="O164" s="174"/>
    </row>
    <row r="165" spans="1:15" ht="42.75" customHeight="1">
      <c r="A165" s="420" t="s">
        <v>448</v>
      </c>
      <c r="B165" s="396">
        <f t="shared" si="19"/>
        <v>1124</v>
      </c>
      <c r="C165" s="416">
        <v>0</v>
      </c>
      <c r="D165" s="421">
        <v>1124</v>
      </c>
      <c r="E165" s="489">
        <v>0</v>
      </c>
      <c r="F165" s="489">
        <v>0</v>
      </c>
      <c r="G165" s="418">
        <v>0</v>
      </c>
      <c r="H165" s="418">
        <v>0</v>
      </c>
      <c r="I165" s="418">
        <v>0</v>
      </c>
      <c r="J165" s="425">
        <v>0</v>
      </c>
      <c r="L165" s="349"/>
      <c r="M165" s="174"/>
      <c r="N165" s="174"/>
      <c r="O165" s="174"/>
    </row>
    <row r="166" spans="1:15" ht="69.75" customHeight="1">
      <c r="A166" s="420" t="s">
        <v>447</v>
      </c>
      <c r="B166" s="396">
        <f t="shared" si="19"/>
        <v>1000</v>
      </c>
      <c r="C166" s="416">
        <v>0</v>
      </c>
      <c r="D166" s="421">
        <v>1000</v>
      </c>
      <c r="E166" s="490">
        <v>0</v>
      </c>
      <c r="F166" s="490">
        <v>0</v>
      </c>
      <c r="G166" s="422"/>
      <c r="H166" s="422"/>
      <c r="I166" s="418">
        <v>0</v>
      </c>
      <c r="J166" s="425">
        <v>0</v>
      </c>
      <c r="L166" s="349"/>
      <c r="M166" s="174"/>
      <c r="N166" s="174"/>
      <c r="O166" s="174"/>
    </row>
    <row r="167" spans="1:15" ht="23.25" customHeight="1">
      <c r="A167" s="427" t="s">
        <v>419</v>
      </c>
      <c r="B167" s="396">
        <f t="shared" si="19"/>
        <v>1000</v>
      </c>
      <c r="C167" s="416"/>
      <c r="D167" s="417">
        <f>F167</f>
        <v>1000</v>
      </c>
      <c r="E167" s="489"/>
      <c r="F167" s="489">
        <f>F168</f>
        <v>1000</v>
      </c>
      <c r="G167" s="418"/>
      <c r="H167" s="418"/>
      <c r="I167" s="418"/>
      <c r="J167" s="425"/>
      <c r="L167" s="349"/>
      <c r="M167" s="174"/>
      <c r="N167" s="174"/>
      <c r="O167" s="174"/>
    </row>
    <row r="168" spans="1:27" s="196" customFormat="1" ht="44.25" customHeight="1">
      <c r="A168" s="562" t="s">
        <v>566</v>
      </c>
      <c r="B168" s="199">
        <f>B169+B172+B173+B174+B175</f>
        <v>0</v>
      </c>
      <c r="C168" s="563">
        <f>SUM(C169:C175)</f>
        <v>0</v>
      </c>
      <c r="D168" s="517">
        <f>F168</f>
        <v>1000</v>
      </c>
      <c r="E168" s="561">
        <v>0</v>
      </c>
      <c r="F168" s="576">
        <v>1000</v>
      </c>
      <c r="G168" s="561">
        <v>0</v>
      </c>
      <c r="H168" s="346">
        <v>0</v>
      </c>
      <c r="I168" s="561">
        <v>0</v>
      </c>
      <c r="J168" s="564">
        <v>0</v>
      </c>
      <c r="K168" s="197"/>
      <c r="L168" s="197"/>
      <c r="M168" s="197"/>
      <c r="N168" s="197"/>
      <c r="O168" s="197"/>
      <c r="T168" s="197"/>
      <c r="U168" s="197"/>
      <c r="V168" s="197"/>
      <c r="W168" s="197"/>
      <c r="X168" s="197"/>
      <c r="Y168" s="197"/>
      <c r="Z168" s="197"/>
      <c r="AA168" s="197"/>
    </row>
    <row r="169" spans="1:27" s="196" customFormat="1" ht="45.75" customHeight="1">
      <c r="A169" s="565" t="s">
        <v>345</v>
      </c>
      <c r="B169" s="199">
        <f aca="true" t="shared" si="20" ref="B169:B175">ROUND(C169+D169+G169+H169*2.9+J169*$L$1+I169,0)</f>
        <v>0</v>
      </c>
      <c r="C169" s="563">
        <v>0</v>
      </c>
      <c r="D169" s="346">
        <v>0</v>
      </c>
      <c r="E169" s="561">
        <v>0</v>
      </c>
      <c r="F169" s="571">
        <v>1000</v>
      </c>
      <c r="G169" s="561">
        <v>0</v>
      </c>
      <c r="H169" s="346">
        <v>0</v>
      </c>
      <c r="I169" s="561">
        <v>0</v>
      </c>
      <c r="J169" s="564">
        <v>0</v>
      </c>
      <c r="K169" s="197"/>
      <c r="L169" s="197"/>
      <c r="M169" s="197"/>
      <c r="N169" s="197"/>
      <c r="O169" s="197"/>
      <c r="T169" s="197"/>
      <c r="U169" s="197"/>
      <c r="V169" s="197"/>
      <c r="W169" s="197"/>
      <c r="X169" s="197"/>
      <c r="Y169" s="197"/>
      <c r="Z169" s="197"/>
      <c r="AA169" s="197"/>
    </row>
    <row r="170" spans="1:27" s="196" customFormat="1" ht="28.5" customHeight="1">
      <c r="A170" s="565" t="s">
        <v>519</v>
      </c>
      <c r="B170" s="199">
        <f t="shared" si="20"/>
        <v>0</v>
      </c>
      <c r="C170" s="563">
        <v>0</v>
      </c>
      <c r="D170" s="346">
        <v>0</v>
      </c>
      <c r="E170" s="561">
        <v>0</v>
      </c>
      <c r="F170" s="561">
        <v>0</v>
      </c>
      <c r="G170" s="561">
        <v>0</v>
      </c>
      <c r="H170" s="346">
        <v>0</v>
      </c>
      <c r="I170" s="561">
        <v>0</v>
      </c>
      <c r="J170" s="564">
        <v>0</v>
      </c>
      <c r="K170" s="197"/>
      <c r="L170" s="197"/>
      <c r="M170" s="197"/>
      <c r="N170" s="197"/>
      <c r="O170" s="197"/>
      <c r="T170" s="197"/>
      <c r="U170" s="197"/>
      <c r="V170" s="197"/>
      <c r="W170" s="197"/>
      <c r="X170" s="197"/>
      <c r="Y170" s="197"/>
      <c r="Z170" s="197"/>
      <c r="AA170" s="197"/>
    </row>
    <row r="171" spans="1:27" s="196" customFormat="1" ht="25.5" customHeight="1">
      <c r="A171" s="565" t="s">
        <v>520</v>
      </c>
      <c r="B171" s="199">
        <f t="shared" si="20"/>
        <v>0</v>
      </c>
      <c r="C171" s="563">
        <v>0</v>
      </c>
      <c r="D171" s="346">
        <v>0</v>
      </c>
      <c r="E171" s="561">
        <v>0</v>
      </c>
      <c r="F171" s="571">
        <v>1000</v>
      </c>
      <c r="G171" s="561">
        <v>0</v>
      </c>
      <c r="H171" s="346">
        <v>0</v>
      </c>
      <c r="I171" s="561">
        <v>0</v>
      </c>
      <c r="J171" s="564">
        <v>0</v>
      </c>
      <c r="K171" s="197"/>
      <c r="L171" s="197"/>
      <c r="M171" s="197"/>
      <c r="N171" s="197"/>
      <c r="O171" s="197"/>
      <c r="T171" s="197"/>
      <c r="U171" s="197"/>
      <c r="V171" s="197"/>
      <c r="W171" s="197"/>
      <c r="X171" s="197"/>
      <c r="Y171" s="197"/>
      <c r="Z171" s="197"/>
      <c r="AA171" s="197"/>
    </row>
    <row r="172" spans="1:27" s="196" customFormat="1" ht="30" customHeight="1">
      <c r="A172" s="565" t="s">
        <v>521</v>
      </c>
      <c r="B172" s="199">
        <f t="shared" si="20"/>
        <v>0</v>
      </c>
      <c r="C172" s="563">
        <v>0</v>
      </c>
      <c r="D172" s="346">
        <v>0</v>
      </c>
      <c r="E172" s="561">
        <v>0</v>
      </c>
      <c r="F172" s="561">
        <v>0</v>
      </c>
      <c r="G172" s="561">
        <v>0</v>
      </c>
      <c r="H172" s="346">
        <v>0</v>
      </c>
      <c r="I172" s="561">
        <v>0</v>
      </c>
      <c r="J172" s="564">
        <v>0</v>
      </c>
      <c r="K172" s="197"/>
      <c r="L172" s="197"/>
      <c r="M172" s="197"/>
      <c r="N172" s="197"/>
      <c r="O172" s="197"/>
      <c r="T172" s="197"/>
      <c r="U172" s="197"/>
      <c r="V172" s="197"/>
      <c r="W172" s="197"/>
      <c r="X172" s="197"/>
      <c r="Y172" s="197"/>
      <c r="Z172" s="197"/>
      <c r="AA172" s="197"/>
    </row>
    <row r="173" spans="1:27" s="196" customFormat="1" ht="33.75" customHeight="1">
      <c r="A173" s="566" t="s">
        <v>135</v>
      </c>
      <c r="B173" s="199">
        <f t="shared" si="20"/>
        <v>0</v>
      </c>
      <c r="C173" s="563">
        <v>0</v>
      </c>
      <c r="D173" s="346">
        <v>0</v>
      </c>
      <c r="E173" s="561">
        <v>0</v>
      </c>
      <c r="F173" s="561">
        <v>0</v>
      </c>
      <c r="G173" s="561">
        <v>0</v>
      </c>
      <c r="H173" s="346">
        <v>0</v>
      </c>
      <c r="I173" s="561">
        <v>0</v>
      </c>
      <c r="J173" s="564">
        <v>0</v>
      </c>
      <c r="K173" s="197"/>
      <c r="L173" s="197"/>
      <c r="M173" s="197"/>
      <c r="N173" s="197"/>
      <c r="O173" s="197"/>
      <c r="T173" s="197"/>
      <c r="U173" s="197"/>
      <c r="V173" s="197"/>
      <c r="W173" s="197"/>
      <c r="X173" s="197"/>
      <c r="Y173" s="197"/>
      <c r="Z173" s="197"/>
      <c r="AA173" s="197"/>
    </row>
    <row r="174" spans="1:27" s="196" customFormat="1" ht="42.75" customHeight="1">
      <c r="A174" s="565" t="s">
        <v>136</v>
      </c>
      <c r="B174" s="199">
        <f t="shared" si="20"/>
        <v>0</v>
      </c>
      <c r="C174" s="563">
        <v>0</v>
      </c>
      <c r="D174" s="346">
        <v>0</v>
      </c>
      <c r="E174" s="561">
        <v>0</v>
      </c>
      <c r="F174" s="561">
        <v>0</v>
      </c>
      <c r="G174" s="561">
        <v>0</v>
      </c>
      <c r="H174" s="346">
        <v>0</v>
      </c>
      <c r="I174" s="561">
        <v>0</v>
      </c>
      <c r="J174" s="564">
        <v>0</v>
      </c>
      <c r="K174" s="197"/>
      <c r="L174" s="197"/>
      <c r="M174" s="197"/>
      <c r="N174" s="197"/>
      <c r="O174" s="197"/>
      <c r="T174" s="197"/>
      <c r="U174" s="197"/>
      <c r="V174" s="197"/>
      <c r="W174" s="197"/>
      <c r="X174" s="197"/>
      <c r="Y174" s="197"/>
      <c r="Z174" s="197"/>
      <c r="AA174" s="197"/>
    </row>
    <row r="175" spans="1:27" s="196" customFormat="1" ht="30" customHeight="1">
      <c r="A175" s="565" t="s">
        <v>535</v>
      </c>
      <c r="B175" s="199">
        <f t="shared" si="20"/>
        <v>0</v>
      </c>
      <c r="C175" s="563">
        <v>0</v>
      </c>
      <c r="D175" s="346">
        <v>0</v>
      </c>
      <c r="E175" s="561">
        <v>0</v>
      </c>
      <c r="F175" s="561">
        <v>0</v>
      </c>
      <c r="G175" s="561">
        <v>0</v>
      </c>
      <c r="H175" s="346">
        <v>0</v>
      </c>
      <c r="I175" s="561">
        <v>0</v>
      </c>
      <c r="J175" s="564">
        <v>0</v>
      </c>
      <c r="K175" s="197"/>
      <c r="L175" s="197"/>
      <c r="M175" s="197"/>
      <c r="N175" s="197"/>
      <c r="O175" s="197"/>
      <c r="T175" s="197"/>
      <c r="U175" s="197"/>
      <c r="V175" s="197"/>
      <c r="W175" s="197"/>
      <c r="X175" s="197"/>
      <c r="Y175" s="197"/>
      <c r="Z175" s="197"/>
      <c r="AA175" s="197"/>
    </row>
    <row r="176" spans="1:15" ht="22.5" customHeight="1">
      <c r="A176" s="424" t="s">
        <v>69</v>
      </c>
      <c r="B176" s="399">
        <f>ROUND(C176+D176+G176+H176*2.9+J176*$L$1+I176,0)</f>
        <v>3459</v>
      </c>
      <c r="C176" s="416">
        <v>0</v>
      </c>
      <c r="D176" s="417">
        <v>881</v>
      </c>
      <c r="E176" s="495">
        <v>0</v>
      </c>
      <c r="F176" s="495">
        <v>0</v>
      </c>
      <c r="G176" s="417">
        <v>0</v>
      </c>
      <c r="H176" s="417">
        <v>889</v>
      </c>
      <c r="I176" s="418">
        <v>0</v>
      </c>
      <c r="J176" s="425">
        <v>0</v>
      </c>
      <c r="K176" s="174"/>
      <c r="L176" s="349"/>
      <c r="M176" s="174"/>
      <c r="N176" s="174"/>
      <c r="O176" s="174"/>
    </row>
    <row r="177" spans="1:15" ht="22.5" customHeight="1">
      <c r="A177" s="426" t="s">
        <v>8</v>
      </c>
      <c r="B177" s="396">
        <f>ROUND(C177+D177+G177+H177*2.9+J177*$L$1+I177,0)</f>
        <v>952</v>
      </c>
      <c r="C177" s="416">
        <v>0</v>
      </c>
      <c r="D177" s="417">
        <v>279</v>
      </c>
      <c r="E177" s="495">
        <v>0</v>
      </c>
      <c r="F177" s="495">
        <v>0</v>
      </c>
      <c r="G177" s="417">
        <v>0</v>
      </c>
      <c r="H177" s="417">
        <v>232</v>
      </c>
      <c r="I177" s="418">
        <v>0</v>
      </c>
      <c r="J177" s="419">
        <v>0</v>
      </c>
      <c r="K177" s="174"/>
      <c r="L177" s="349"/>
      <c r="M177" s="174"/>
      <c r="N177" s="174"/>
      <c r="O177" s="174"/>
    </row>
    <row r="178" spans="1:15" ht="22.5" customHeight="1">
      <c r="A178" s="424" t="s">
        <v>67</v>
      </c>
      <c r="B178" s="396">
        <f t="shared" si="19"/>
        <v>1211</v>
      </c>
      <c r="C178" s="416">
        <v>0</v>
      </c>
      <c r="D178" s="417">
        <v>982</v>
      </c>
      <c r="E178" s="495">
        <v>0</v>
      </c>
      <c r="F178" s="495">
        <v>0</v>
      </c>
      <c r="G178" s="417">
        <v>0</v>
      </c>
      <c r="H178" s="417">
        <v>79</v>
      </c>
      <c r="I178" s="418">
        <v>0</v>
      </c>
      <c r="J178" s="419">
        <v>0</v>
      </c>
      <c r="K178" s="174"/>
      <c r="L178" s="349"/>
      <c r="M178" s="174"/>
      <c r="N178" s="174"/>
      <c r="O178" s="174"/>
    </row>
    <row r="179" spans="1:15" ht="22.5" customHeight="1">
      <c r="A179" s="426" t="s">
        <v>383</v>
      </c>
      <c r="B179" s="396">
        <f>ROUND(C179+D179+G179+H179*2.9+J179*$L$1+I179,0)</f>
        <v>648</v>
      </c>
      <c r="C179" s="416">
        <v>0</v>
      </c>
      <c r="D179" s="417">
        <v>462</v>
      </c>
      <c r="E179" s="495">
        <v>0</v>
      </c>
      <c r="F179" s="495">
        <v>0</v>
      </c>
      <c r="G179" s="417">
        <v>0</v>
      </c>
      <c r="H179" s="417">
        <v>64</v>
      </c>
      <c r="I179" s="418">
        <v>0</v>
      </c>
      <c r="J179" s="419">
        <v>0</v>
      </c>
      <c r="K179" s="174"/>
      <c r="L179" s="349"/>
      <c r="M179" s="174"/>
      <c r="N179" s="174"/>
      <c r="O179" s="174"/>
    </row>
    <row r="180" spans="1:15" ht="27" customHeight="1">
      <c r="A180" s="420" t="s">
        <v>532</v>
      </c>
      <c r="B180" s="396">
        <f>ROUND(C180+D180+G180+H180*2.9+J180*$L$1+I180,0)</f>
        <v>4971</v>
      </c>
      <c r="C180" s="417">
        <f>C181</f>
        <v>3185</v>
      </c>
      <c r="D180" s="417">
        <v>1014</v>
      </c>
      <c r="E180" s="495">
        <v>110</v>
      </c>
      <c r="F180" s="495">
        <v>0</v>
      </c>
      <c r="G180" s="417">
        <v>15</v>
      </c>
      <c r="H180" s="417">
        <v>261</v>
      </c>
      <c r="I180" s="418">
        <v>0</v>
      </c>
      <c r="J180" s="419">
        <v>0</v>
      </c>
      <c r="K180" s="174"/>
      <c r="L180" s="349"/>
      <c r="M180" s="174"/>
      <c r="N180" s="174"/>
      <c r="O180" s="174"/>
    </row>
    <row r="181" spans="1:27" s="196" customFormat="1" ht="44.25" customHeight="1">
      <c r="A181" s="562" t="s">
        <v>566</v>
      </c>
      <c r="B181" s="199">
        <f>B182+B185+B186+B187+B188</f>
        <v>3185</v>
      </c>
      <c r="C181" s="563">
        <f>SUM(C182:C188)</f>
        <v>3185</v>
      </c>
      <c r="D181" s="346">
        <v>0</v>
      </c>
      <c r="E181" s="561">
        <v>0</v>
      </c>
      <c r="F181" s="561">
        <v>0</v>
      </c>
      <c r="G181" s="561">
        <v>0</v>
      </c>
      <c r="H181" s="346">
        <v>0</v>
      </c>
      <c r="I181" s="561">
        <v>0</v>
      </c>
      <c r="J181" s="564">
        <v>0</v>
      </c>
      <c r="K181" s="197"/>
      <c r="L181" s="197"/>
      <c r="M181" s="197"/>
      <c r="N181" s="197"/>
      <c r="O181" s="197"/>
      <c r="T181" s="197"/>
      <c r="U181" s="197"/>
      <c r="V181" s="197"/>
      <c r="W181" s="197"/>
      <c r="X181" s="197"/>
      <c r="Y181" s="197"/>
      <c r="Z181" s="197"/>
      <c r="AA181" s="197"/>
    </row>
    <row r="182" spans="1:27" s="196" customFormat="1" ht="45.75" customHeight="1">
      <c r="A182" s="565" t="s">
        <v>345</v>
      </c>
      <c r="B182" s="199">
        <f t="shared" si="19"/>
        <v>0</v>
      </c>
      <c r="C182" s="563">
        <v>0</v>
      </c>
      <c r="D182" s="346">
        <v>0</v>
      </c>
      <c r="E182" s="561">
        <v>0</v>
      </c>
      <c r="F182" s="561">
        <v>0</v>
      </c>
      <c r="G182" s="561">
        <v>0</v>
      </c>
      <c r="H182" s="346">
        <v>0</v>
      </c>
      <c r="I182" s="561">
        <v>0</v>
      </c>
      <c r="J182" s="564">
        <v>0</v>
      </c>
      <c r="K182" s="197"/>
      <c r="L182" s="197"/>
      <c r="M182" s="197"/>
      <c r="N182" s="197"/>
      <c r="O182" s="197"/>
      <c r="T182" s="197"/>
      <c r="U182" s="197"/>
      <c r="V182" s="197"/>
      <c r="W182" s="197"/>
      <c r="X182" s="197"/>
      <c r="Y182" s="197"/>
      <c r="Z182" s="197"/>
      <c r="AA182" s="197"/>
    </row>
    <row r="183" spans="1:27" s="196" customFormat="1" ht="28.5" customHeight="1">
      <c r="A183" s="565" t="s">
        <v>519</v>
      </c>
      <c r="B183" s="199">
        <f t="shared" si="19"/>
        <v>0</v>
      </c>
      <c r="C183" s="563">
        <v>0</v>
      </c>
      <c r="D183" s="346">
        <v>0</v>
      </c>
      <c r="E183" s="561">
        <v>0</v>
      </c>
      <c r="F183" s="561">
        <v>0</v>
      </c>
      <c r="G183" s="561">
        <v>0</v>
      </c>
      <c r="H183" s="346">
        <v>0</v>
      </c>
      <c r="I183" s="561">
        <v>0</v>
      </c>
      <c r="J183" s="564">
        <v>0</v>
      </c>
      <c r="K183" s="197"/>
      <c r="L183" s="197"/>
      <c r="M183" s="197"/>
      <c r="N183" s="197"/>
      <c r="O183" s="197"/>
      <c r="T183" s="197"/>
      <c r="U183" s="197"/>
      <c r="V183" s="197"/>
      <c r="W183" s="197"/>
      <c r="X183" s="197"/>
      <c r="Y183" s="197"/>
      <c r="Z183" s="197"/>
      <c r="AA183" s="197"/>
    </row>
    <row r="184" spans="1:27" s="196" customFormat="1" ht="25.5" customHeight="1">
      <c r="A184" s="565" t="s">
        <v>520</v>
      </c>
      <c r="B184" s="199">
        <f t="shared" si="19"/>
        <v>0</v>
      </c>
      <c r="C184" s="563">
        <v>0</v>
      </c>
      <c r="D184" s="346">
        <v>0</v>
      </c>
      <c r="E184" s="561">
        <v>0</v>
      </c>
      <c r="F184" s="561">
        <v>0</v>
      </c>
      <c r="G184" s="561">
        <v>0</v>
      </c>
      <c r="H184" s="346">
        <v>0</v>
      </c>
      <c r="I184" s="561">
        <v>0</v>
      </c>
      <c r="J184" s="564">
        <v>0</v>
      </c>
      <c r="K184" s="197"/>
      <c r="L184" s="197"/>
      <c r="M184" s="197"/>
      <c r="N184" s="197"/>
      <c r="O184" s="197"/>
      <c r="T184" s="197"/>
      <c r="U184" s="197"/>
      <c r="V184" s="197"/>
      <c r="W184" s="197"/>
      <c r="X184" s="197"/>
      <c r="Y184" s="197"/>
      <c r="Z184" s="197"/>
      <c r="AA184" s="197"/>
    </row>
    <row r="185" spans="1:27" s="196" customFormat="1" ht="30" customHeight="1">
      <c r="A185" s="565" t="s">
        <v>521</v>
      </c>
      <c r="B185" s="199">
        <f t="shared" si="19"/>
        <v>0</v>
      </c>
      <c r="C185" s="563">
        <v>0</v>
      </c>
      <c r="D185" s="346">
        <v>0</v>
      </c>
      <c r="E185" s="561">
        <v>0</v>
      </c>
      <c r="F185" s="561">
        <v>0</v>
      </c>
      <c r="G185" s="561">
        <v>0</v>
      </c>
      <c r="H185" s="346">
        <v>0</v>
      </c>
      <c r="I185" s="561">
        <v>0</v>
      </c>
      <c r="J185" s="564">
        <v>0</v>
      </c>
      <c r="K185" s="197"/>
      <c r="L185" s="197"/>
      <c r="M185" s="197"/>
      <c r="N185" s="197"/>
      <c r="O185" s="197"/>
      <c r="T185" s="197"/>
      <c r="U185" s="197"/>
      <c r="V185" s="197"/>
      <c r="W185" s="197"/>
      <c r="X185" s="197"/>
      <c r="Y185" s="197"/>
      <c r="Z185" s="197"/>
      <c r="AA185" s="197"/>
    </row>
    <row r="186" spans="1:27" s="196" customFormat="1" ht="33.75" customHeight="1">
      <c r="A186" s="566" t="s">
        <v>135</v>
      </c>
      <c r="B186" s="199">
        <f t="shared" si="19"/>
        <v>63</v>
      </c>
      <c r="C186" s="563">
        <v>63</v>
      </c>
      <c r="D186" s="346">
        <v>0</v>
      </c>
      <c r="E186" s="561">
        <v>0</v>
      </c>
      <c r="F186" s="561">
        <v>0</v>
      </c>
      <c r="G186" s="561">
        <v>0</v>
      </c>
      <c r="H186" s="346">
        <v>0</v>
      </c>
      <c r="I186" s="561">
        <v>0</v>
      </c>
      <c r="J186" s="564">
        <v>0</v>
      </c>
      <c r="K186" s="197"/>
      <c r="L186" s="197"/>
      <c r="M186" s="197"/>
      <c r="N186" s="197"/>
      <c r="O186" s="197"/>
      <c r="T186" s="197"/>
      <c r="U186" s="197"/>
      <c r="V186" s="197"/>
      <c r="W186" s="197"/>
      <c r="X186" s="197"/>
      <c r="Y186" s="197"/>
      <c r="Z186" s="197"/>
      <c r="AA186" s="197"/>
    </row>
    <row r="187" spans="1:27" s="196" customFormat="1" ht="42.75" customHeight="1">
      <c r="A187" s="565" t="s">
        <v>136</v>
      </c>
      <c r="B187" s="199">
        <f t="shared" si="19"/>
        <v>53</v>
      </c>
      <c r="C187" s="563">
        <v>53</v>
      </c>
      <c r="D187" s="346">
        <v>0</v>
      </c>
      <c r="E187" s="561">
        <v>0</v>
      </c>
      <c r="F187" s="561">
        <v>0</v>
      </c>
      <c r="G187" s="561">
        <v>0</v>
      </c>
      <c r="H187" s="346">
        <v>0</v>
      </c>
      <c r="I187" s="561">
        <v>0</v>
      </c>
      <c r="J187" s="564">
        <v>0</v>
      </c>
      <c r="K187" s="197"/>
      <c r="L187" s="197"/>
      <c r="M187" s="197"/>
      <c r="N187" s="197"/>
      <c r="O187" s="197"/>
      <c r="T187" s="197"/>
      <c r="U187" s="197"/>
      <c r="V187" s="197"/>
      <c r="W187" s="197"/>
      <c r="X187" s="197"/>
      <c r="Y187" s="197"/>
      <c r="Z187" s="197"/>
      <c r="AA187" s="197"/>
    </row>
    <row r="188" spans="1:27" s="196" customFormat="1" ht="30" customHeight="1">
      <c r="A188" s="565" t="s">
        <v>535</v>
      </c>
      <c r="B188" s="199">
        <f t="shared" si="19"/>
        <v>3069</v>
      </c>
      <c r="C188" s="563">
        <v>3069</v>
      </c>
      <c r="D188" s="346">
        <v>0</v>
      </c>
      <c r="E188" s="561">
        <v>0</v>
      </c>
      <c r="F188" s="561">
        <v>0</v>
      </c>
      <c r="G188" s="561">
        <v>0</v>
      </c>
      <c r="H188" s="346">
        <v>0</v>
      </c>
      <c r="I188" s="561">
        <v>0</v>
      </c>
      <c r="J188" s="564">
        <v>0</v>
      </c>
      <c r="K188" s="197"/>
      <c r="L188" s="197"/>
      <c r="M188" s="197"/>
      <c r="N188" s="197"/>
      <c r="O188" s="197"/>
      <c r="T188" s="197"/>
      <c r="U188" s="197"/>
      <c r="V188" s="197"/>
      <c r="W188" s="197"/>
      <c r="X188" s="197"/>
      <c r="Y188" s="197"/>
      <c r="Z188" s="197"/>
      <c r="AA188" s="197"/>
    </row>
    <row r="189" spans="1:15" ht="27" customHeight="1">
      <c r="A189" s="420" t="s">
        <v>533</v>
      </c>
      <c r="B189" s="396">
        <f t="shared" si="19"/>
        <v>13316</v>
      </c>
      <c r="C189" s="417">
        <f>C190</f>
        <v>6089</v>
      </c>
      <c r="D189" s="417">
        <v>3660</v>
      </c>
      <c r="E189" s="495">
        <v>180</v>
      </c>
      <c r="F189" s="495">
        <v>0</v>
      </c>
      <c r="G189" s="417">
        <v>3100</v>
      </c>
      <c r="H189" s="417">
        <v>161</v>
      </c>
      <c r="I189" s="418">
        <v>0</v>
      </c>
      <c r="J189" s="419">
        <v>0</v>
      </c>
      <c r="K189" s="174"/>
      <c r="L189" s="349"/>
      <c r="M189" s="174"/>
      <c r="N189" s="174"/>
      <c r="O189" s="174"/>
    </row>
    <row r="190" spans="1:27" s="196" customFormat="1" ht="46.5" customHeight="1">
      <c r="A190" s="562" t="s">
        <v>566</v>
      </c>
      <c r="B190" s="199">
        <f>B191+B194+B195+B196+B197</f>
        <v>6089</v>
      </c>
      <c r="C190" s="563">
        <f>SUM(C191:C197)</f>
        <v>6089</v>
      </c>
      <c r="D190" s="346">
        <v>0</v>
      </c>
      <c r="E190" s="561">
        <v>0</v>
      </c>
      <c r="F190" s="561">
        <v>0</v>
      </c>
      <c r="G190" s="561">
        <v>0</v>
      </c>
      <c r="H190" s="346">
        <v>0</v>
      </c>
      <c r="I190" s="561">
        <v>0</v>
      </c>
      <c r="J190" s="564">
        <v>0</v>
      </c>
      <c r="K190" s="197"/>
      <c r="L190" s="197"/>
      <c r="M190" s="197"/>
      <c r="N190" s="197"/>
      <c r="O190" s="197"/>
      <c r="T190" s="197"/>
      <c r="U190" s="197"/>
      <c r="V190" s="197"/>
      <c r="W190" s="197"/>
      <c r="X190" s="197"/>
      <c r="Y190" s="197"/>
      <c r="Z190" s="197"/>
      <c r="AA190" s="197"/>
    </row>
    <row r="191" spans="1:27" s="196" customFormat="1" ht="48" customHeight="1">
      <c r="A191" s="565" t="s">
        <v>345</v>
      </c>
      <c r="B191" s="199">
        <f t="shared" si="19"/>
        <v>0</v>
      </c>
      <c r="C191" s="563">
        <v>0</v>
      </c>
      <c r="D191" s="346">
        <v>0</v>
      </c>
      <c r="E191" s="561">
        <v>0</v>
      </c>
      <c r="F191" s="561">
        <v>0</v>
      </c>
      <c r="G191" s="561">
        <v>0</v>
      </c>
      <c r="H191" s="346">
        <v>0</v>
      </c>
      <c r="I191" s="561">
        <v>0</v>
      </c>
      <c r="J191" s="564">
        <v>0</v>
      </c>
      <c r="K191" s="197"/>
      <c r="L191" s="197"/>
      <c r="M191" s="197"/>
      <c r="N191" s="197"/>
      <c r="O191" s="197"/>
      <c r="T191" s="197"/>
      <c r="U191" s="197"/>
      <c r="V191" s="197"/>
      <c r="W191" s="197"/>
      <c r="X191" s="197"/>
      <c r="Y191" s="197"/>
      <c r="Z191" s="197"/>
      <c r="AA191" s="197"/>
    </row>
    <row r="192" spans="1:27" s="196" customFormat="1" ht="34.5" customHeight="1">
      <c r="A192" s="565" t="s">
        <v>519</v>
      </c>
      <c r="B192" s="199">
        <f t="shared" si="19"/>
        <v>0</v>
      </c>
      <c r="C192" s="563">
        <v>0</v>
      </c>
      <c r="D192" s="346">
        <v>0</v>
      </c>
      <c r="E192" s="561">
        <v>0</v>
      </c>
      <c r="F192" s="561">
        <v>0</v>
      </c>
      <c r="G192" s="561">
        <v>0</v>
      </c>
      <c r="H192" s="346">
        <v>0</v>
      </c>
      <c r="I192" s="561">
        <v>0</v>
      </c>
      <c r="J192" s="564">
        <v>0</v>
      </c>
      <c r="K192" s="197"/>
      <c r="L192" s="197"/>
      <c r="M192" s="197"/>
      <c r="N192" s="197"/>
      <c r="O192" s="197"/>
      <c r="T192" s="197"/>
      <c r="U192" s="197"/>
      <c r="V192" s="197"/>
      <c r="W192" s="197"/>
      <c r="X192" s="197"/>
      <c r="Y192" s="197"/>
      <c r="Z192" s="197"/>
      <c r="AA192" s="197"/>
    </row>
    <row r="193" spans="1:27" s="196" customFormat="1" ht="21.75" customHeight="1">
      <c r="A193" s="565" t="s">
        <v>520</v>
      </c>
      <c r="B193" s="199">
        <f t="shared" si="19"/>
        <v>0</v>
      </c>
      <c r="C193" s="563">
        <v>0</v>
      </c>
      <c r="D193" s="346">
        <v>0</v>
      </c>
      <c r="E193" s="561">
        <v>0</v>
      </c>
      <c r="F193" s="561">
        <v>0</v>
      </c>
      <c r="G193" s="561">
        <v>0</v>
      </c>
      <c r="H193" s="346">
        <v>0</v>
      </c>
      <c r="I193" s="561">
        <v>0</v>
      </c>
      <c r="J193" s="564">
        <v>0</v>
      </c>
      <c r="K193" s="197"/>
      <c r="L193" s="197"/>
      <c r="M193" s="197"/>
      <c r="N193" s="197"/>
      <c r="O193" s="197"/>
      <c r="T193" s="197"/>
      <c r="U193" s="197"/>
      <c r="V193" s="197"/>
      <c r="W193" s="197"/>
      <c r="X193" s="197"/>
      <c r="Y193" s="197"/>
      <c r="Z193" s="197"/>
      <c r="AA193" s="197"/>
    </row>
    <row r="194" spans="1:27" s="196" customFormat="1" ht="30" customHeight="1">
      <c r="A194" s="565" t="s">
        <v>521</v>
      </c>
      <c r="B194" s="199">
        <f t="shared" si="19"/>
        <v>0</v>
      </c>
      <c r="C194" s="563">
        <v>0</v>
      </c>
      <c r="D194" s="346">
        <v>0</v>
      </c>
      <c r="E194" s="561">
        <v>0</v>
      </c>
      <c r="F194" s="561">
        <v>0</v>
      </c>
      <c r="G194" s="561">
        <v>0</v>
      </c>
      <c r="H194" s="346">
        <v>0</v>
      </c>
      <c r="I194" s="561">
        <v>0</v>
      </c>
      <c r="J194" s="564">
        <v>0</v>
      </c>
      <c r="K194" s="197"/>
      <c r="L194" s="197"/>
      <c r="M194" s="197"/>
      <c r="N194" s="197"/>
      <c r="O194" s="197"/>
      <c r="T194" s="197"/>
      <c r="U194" s="197"/>
      <c r="V194" s="197"/>
      <c r="W194" s="197"/>
      <c r="X194" s="197"/>
      <c r="Y194" s="197"/>
      <c r="Z194" s="197"/>
      <c r="AA194" s="197"/>
    </row>
    <row r="195" spans="1:27" s="196" customFormat="1" ht="30" customHeight="1">
      <c r="A195" s="566" t="s">
        <v>135</v>
      </c>
      <c r="B195" s="199">
        <f t="shared" si="19"/>
        <v>124</v>
      </c>
      <c r="C195" s="563">
        <v>124</v>
      </c>
      <c r="D195" s="346">
        <v>0</v>
      </c>
      <c r="E195" s="561">
        <v>0</v>
      </c>
      <c r="F195" s="561">
        <v>0</v>
      </c>
      <c r="G195" s="561">
        <v>0</v>
      </c>
      <c r="H195" s="346">
        <v>0</v>
      </c>
      <c r="I195" s="561">
        <v>0</v>
      </c>
      <c r="J195" s="564">
        <v>0</v>
      </c>
      <c r="K195" s="197"/>
      <c r="L195" s="197"/>
      <c r="M195" s="197"/>
      <c r="N195" s="197"/>
      <c r="O195" s="197"/>
      <c r="T195" s="197"/>
      <c r="U195" s="197"/>
      <c r="V195" s="197"/>
      <c r="W195" s="197"/>
      <c r="X195" s="197"/>
      <c r="Y195" s="197"/>
      <c r="Z195" s="197"/>
      <c r="AA195" s="197"/>
    </row>
    <row r="196" spans="1:27" s="196" customFormat="1" ht="44.25" customHeight="1">
      <c r="A196" s="565" t="s">
        <v>136</v>
      </c>
      <c r="B196" s="199">
        <f t="shared" si="19"/>
        <v>103</v>
      </c>
      <c r="C196" s="563">
        <v>103</v>
      </c>
      <c r="D196" s="346">
        <v>0</v>
      </c>
      <c r="E196" s="561">
        <v>0</v>
      </c>
      <c r="F196" s="561">
        <v>0</v>
      </c>
      <c r="G196" s="561">
        <v>0</v>
      </c>
      <c r="H196" s="346">
        <v>0</v>
      </c>
      <c r="I196" s="561">
        <v>0</v>
      </c>
      <c r="J196" s="564">
        <v>0</v>
      </c>
      <c r="K196" s="197"/>
      <c r="L196" s="197"/>
      <c r="M196" s="197"/>
      <c r="N196" s="197"/>
      <c r="O196" s="197"/>
      <c r="T196" s="197"/>
      <c r="U196" s="197"/>
      <c r="V196" s="197"/>
      <c r="W196" s="197"/>
      <c r="X196" s="197"/>
      <c r="Y196" s="197"/>
      <c r="Z196" s="197"/>
      <c r="AA196" s="197"/>
    </row>
    <row r="197" spans="1:27" s="196" customFormat="1" ht="30.75" customHeight="1">
      <c r="A197" s="565" t="s">
        <v>535</v>
      </c>
      <c r="B197" s="199">
        <f t="shared" si="19"/>
        <v>5862</v>
      </c>
      <c r="C197" s="563">
        <v>5862</v>
      </c>
      <c r="D197" s="346">
        <v>0</v>
      </c>
      <c r="E197" s="561">
        <v>0</v>
      </c>
      <c r="F197" s="561">
        <v>0</v>
      </c>
      <c r="G197" s="561">
        <v>0</v>
      </c>
      <c r="H197" s="346">
        <v>0</v>
      </c>
      <c r="I197" s="561">
        <v>0</v>
      </c>
      <c r="J197" s="564">
        <v>0</v>
      </c>
      <c r="K197" s="197"/>
      <c r="L197" s="197"/>
      <c r="M197" s="197"/>
      <c r="N197" s="197"/>
      <c r="O197" s="197"/>
      <c r="T197" s="197"/>
      <c r="U197" s="197"/>
      <c r="V197" s="197"/>
      <c r="W197" s="197"/>
      <c r="X197" s="197"/>
      <c r="Y197" s="197"/>
      <c r="Z197" s="197"/>
      <c r="AA197" s="197"/>
    </row>
    <row r="198" spans="1:15" ht="33" customHeight="1">
      <c r="A198" s="420" t="s">
        <v>534</v>
      </c>
      <c r="B198" s="396">
        <f>ROUND(C198+D198+G198+H198*2.9+J198*$L$1+I198,0)</f>
        <v>7780</v>
      </c>
      <c r="C198" s="417">
        <f>C199</f>
        <v>4381</v>
      </c>
      <c r="D198" s="417">
        <v>1743</v>
      </c>
      <c r="E198" s="495">
        <v>240</v>
      </c>
      <c r="F198" s="495">
        <v>0</v>
      </c>
      <c r="G198" s="417">
        <v>0</v>
      </c>
      <c r="H198" s="417">
        <v>571</v>
      </c>
      <c r="I198" s="418">
        <v>0</v>
      </c>
      <c r="J198" s="419">
        <v>0</v>
      </c>
      <c r="K198" s="215"/>
      <c r="L198" s="349"/>
      <c r="M198" s="174"/>
      <c r="N198" s="174"/>
      <c r="O198" s="174"/>
    </row>
    <row r="199" spans="1:27" s="196" customFormat="1" ht="49.5" customHeight="1">
      <c r="A199" s="562" t="s">
        <v>566</v>
      </c>
      <c r="B199" s="199">
        <f>B200+B203+B204+B205+B206</f>
        <v>4381</v>
      </c>
      <c r="C199" s="563">
        <f>SUM(C200:C206)</f>
        <v>4381</v>
      </c>
      <c r="D199" s="346">
        <v>0</v>
      </c>
      <c r="E199" s="561">
        <v>0</v>
      </c>
      <c r="F199" s="561">
        <v>0</v>
      </c>
      <c r="G199" s="561">
        <v>0</v>
      </c>
      <c r="H199" s="346">
        <v>0</v>
      </c>
      <c r="I199" s="561">
        <v>0</v>
      </c>
      <c r="J199" s="564">
        <v>0</v>
      </c>
      <c r="K199" s="197"/>
      <c r="L199" s="197"/>
      <c r="M199" s="197"/>
      <c r="N199" s="197"/>
      <c r="O199" s="197"/>
      <c r="T199" s="197"/>
      <c r="U199" s="197"/>
      <c r="V199" s="197"/>
      <c r="W199" s="197"/>
      <c r="X199" s="197"/>
      <c r="Y199" s="197"/>
      <c r="Z199" s="197"/>
      <c r="AA199" s="197"/>
    </row>
    <row r="200" spans="1:27" s="196" customFormat="1" ht="43.5" customHeight="1">
      <c r="A200" s="565" t="s">
        <v>345</v>
      </c>
      <c r="B200" s="199">
        <f t="shared" si="19"/>
        <v>0</v>
      </c>
      <c r="C200" s="563">
        <v>0</v>
      </c>
      <c r="D200" s="346">
        <v>0</v>
      </c>
      <c r="E200" s="561">
        <v>0</v>
      </c>
      <c r="F200" s="561">
        <v>0</v>
      </c>
      <c r="G200" s="561">
        <v>0</v>
      </c>
      <c r="H200" s="346">
        <v>0</v>
      </c>
      <c r="I200" s="561">
        <v>0</v>
      </c>
      <c r="J200" s="564">
        <v>0</v>
      </c>
      <c r="K200" s="197"/>
      <c r="L200" s="197"/>
      <c r="M200" s="197"/>
      <c r="N200" s="197"/>
      <c r="O200" s="197"/>
      <c r="T200" s="197"/>
      <c r="U200" s="197"/>
      <c r="V200" s="197"/>
      <c r="W200" s="197"/>
      <c r="X200" s="197"/>
      <c r="Y200" s="197"/>
      <c r="Z200" s="197"/>
      <c r="AA200" s="197"/>
    </row>
    <row r="201" spans="1:27" s="196" customFormat="1" ht="31.5" customHeight="1">
      <c r="A201" s="565" t="s">
        <v>519</v>
      </c>
      <c r="B201" s="199">
        <f t="shared" si="19"/>
        <v>0</v>
      </c>
      <c r="C201" s="563">
        <v>0</v>
      </c>
      <c r="D201" s="346">
        <v>0</v>
      </c>
      <c r="E201" s="561">
        <v>0</v>
      </c>
      <c r="F201" s="561">
        <v>0</v>
      </c>
      <c r="G201" s="561">
        <v>0</v>
      </c>
      <c r="H201" s="346">
        <v>0</v>
      </c>
      <c r="I201" s="561">
        <v>0</v>
      </c>
      <c r="J201" s="564">
        <v>0</v>
      </c>
      <c r="K201" s="197"/>
      <c r="L201" s="197"/>
      <c r="M201" s="197"/>
      <c r="N201" s="197"/>
      <c r="O201" s="197"/>
      <c r="T201" s="197"/>
      <c r="U201" s="197"/>
      <c r="V201" s="197"/>
      <c r="W201" s="197"/>
      <c r="X201" s="197"/>
      <c r="Y201" s="197"/>
      <c r="Z201" s="197"/>
      <c r="AA201" s="197"/>
    </row>
    <row r="202" spans="1:27" s="196" customFormat="1" ht="21.75" customHeight="1">
      <c r="A202" s="565" t="s">
        <v>520</v>
      </c>
      <c r="B202" s="199">
        <f t="shared" si="19"/>
        <v>0</v>
      </c>
      <c r="C202" s="563">
        <v>0</v>
      </c>
      <c r="D202" s="346">
        <v>0</v>
      </c>
      <c r="E202" s="561">
        <v>0</v>
      </c>
      <c r="F202" s="561">
        <v>0</v>
      </c>
      <c r="G202" s="561">
        <v>0</v>
      </c>
      <c r="H202" s="346">
        <v>0</v>
      </c>
      <c r="I202" s="561">
        <v>0</v>
      </c>
      <c r="J202" s="564">
        <v>0</v>
      </c>
      <c r="K202" s="197"/>
      <c r="L202" s="197"/>
      <c r="M202" s="197"/>
      <c r="N202" s="197"/>
      <c r="O202" s="197"/>
      <c r="T202" s="197"/>
      <c r="U202" s="197"/>
      <c r="V202" s="197"/>
      <c r="W202" s="197"/>
      <c r="X202" s="197"/>
      <c r="Y202" s="197"/>
      <c r="Z202" s="197"/>
      <c r="AA202" s="197"/>
    </row>
    <row r="203" spans="1:27" s="196" customFormat="1" ht="30" customHeight="1">
      <c r="A203" s="565" t="s">
        <v>521</v>
      </c>
      <c r="B203" s="199">
        <f t="shared" si="19"/>
        <v>0</v>
      </c>
      <c r="C203" s="563">
        <v>0</v>
      </c>
      <c r="D203" s="346">
        <v>0</v>
      </c>
      <c r="E203" s="561">
        <v>0</v>
      </c>
      <c r="F203" s="561">
        <v>0</v>
      </c>
      <c r="G203" s="561">
        <v>0</v>
      </c>
      <c r="H203" s="346">
        <v>0</v>
      </c>
      <c r="I203" s="561">
        <v>0</v>
      </c>
      <c r="J203" s="564">
        <v>0</v>
      </c>
      <c r="K203" s="197"/>
      <c r="L203" s="197"/>
      <c r="M203" s="197"/>
      <c r="N203" s="197"/>
      <c r="O203" s="197"/>
      <c r="T203" s="197"/>
      <c r="U203" s="197"/>
      <c r="V203" s="197"/>
      <c r="W203" s="197"/>
      <c r="X203" s="197"/>
      <c r="Y203" s="197"/>
      <c r="Z203" s="197"/>
      <c r="AA203" s="197"/>
    </row>
    <row r="204" spans="1:27" s="196" customFormat="1" ht="30" customHeight="1">
      <c r="A204" s="566" t="s">
        <v>135</v>
      </c>
      <c r="B204" s="199">
        <f t="shared" si="19"/>
        <v>106</v>
      </c>
      <c r="C204" s="563">
        <v>106</v>
      </c>
      <c r="D204" s="346">
        <v>0</v>
      </c>
      <c r="E204" s="561">
        <v>0</v>
      </c>
      <c r="F204" s="561">
        <v>0</v>
      </c>
      <c r="G204" s="561">
        <v>0</v>
      </c>
      <c r="H204" s="346">
        <v>0</v>
      </c>
      <c r="I204" s="561">
        <v>0</v>
      </c>
      <c r="J204" s="564">
        <v>0</v>
      </c>
      <c r="K204" s="197"/>
      <c r="L204" s="197"/>
      <c r="M204" s="197"/>
      <c r="N204" s="197"/>
      <c r="O204" s="197"/>
      <c r="T204" s="197"/>
      <c r="U204" s="197"/>
      <c r="V204" s="197"/>
      <c r="W204" s="197"/>
      <c r="X204" s="197"/>
      <c r="Y204" s="197"/>
      <c r="Z204" s="197"/>
      <c r="AA204" s="197"/>
    </row>
    <row r="205" spans="1:27" s="196" customFormat="1" ht="42.75" customHeight="1">
      <c r="A205" s="565" t="s">
        <v>136</v>
      </c>
      <c r="B205" s="199">
        <f t="shared" si="19"/>
        <v>88</v>
      </c>
      <c r="C205" s="563">
        <v>88</v>
      </c>
      <c r="D205" s="346">
        <v>0</v>
      </c>
      <c r="E205" s="561">
        <v>0</v>
      </c>
      <c r="F205" s="561">
        <v>0</v>
      </c>
      <c r="G205" s="561">
        <v>0</v>
      </c>
      <c r="H205" s="346">
        <v>0</v>
      </c>
      <c r="I205" s="561">
        <v>0</v>
      </c>
      <c r="J205" s="564">
        <v>0</v>
      </c>
      <c r="K205" s="197"/>
      <c r="L205" s="197"/>
      <c r="M205" s="197"/>
      <c r="N205" s="197"/>
      <c r="O205" s="197"/>
      <c r="T205" s="197"/>
      <c r="U205" s="197"/>
      <c r="V205" s="197"/>
      <c r="W205" s="197"/>
      <c r="X205" s="197"/>
      <c r="Y205" s="197"/>
      <c r="Z205" s="197"/>
      <c r="AA205" s="197"/>
    </row>
    <row r="206" spans="1:27" s="196" customFormat="1" ht="30" customHeight="1">
      <c r="A206" s="565" t="s">
        <v>535</v>
      </c>
      <c r="B206" s="199">
        <f t="shared" si="19"/>
        <v>4187</v>
      </c>
      <c r="C206" s="563">
        <v>4187</v>
      </c>
      <c r="D206" s="346">
        <v>0</v>
      </c>
      <c r="E206" s="561">
        <v>0</v>
      </c>
      <c r="F206" s="561">
        <v>0</v>
      </c>
      <c r="G206" s="561">
        <v>0</v>
      </c>
      <c r="H206" s="346">
        <v>0</v>
      </c>
      <c r="I206" s="561">
        <v>0</v>
      </c>
      <c r="J206" s="564">
        <v>0</v>
      </c>
      <c r="K206" s="197"/>
      <c r="L206" s="197"/>
      <c r="M206" s="197"/>
      <c r="N206" s="197"/>
      <c r="O206" s="197"/>
      <c r="T206" s="197"/>
      <c r="U206" s="197"/>
      <c r="V206" s="197"/>
      <c r="W206" s="197"/>
      <c r="X206" s="197"/>
      <c r="Y206" s="197"/>
      <c r="Z206" s="197"/>
      <c r="AA206" s="197"/>
    </row>
    <row r="207" spans="1:15" s="196" customFormat="1" ht="48" customHeight="1">
      <c r="A207" s="562" t="s">
        <v>578</v>
      </c>
      <c r="B207" s="199">
        <f>ROUND(C207+D207*10+G207+H207*2.9+J207*$L$1+I207,0)</f>
        <v>300</v>
      </c>
      <c r="C207" s="561">
        <v>0</v>
      </c>
      <c r="D207" s="222">
        <v>30</v>
      </c>
      <c r="E207" s="577"/>
      <c r="F207" s="577"/>
      <c r="G207" s="561">
        <v>0</v>
      </c>
      <c r="H207" s="346">
        <v>0</v>
      </c>
      <c r="I207" s="561">
        <v>0</v>
      </c>
      <c r="J207" s="564">
        <v>0</v>
      </c>
      <c r="K207" s="197"/>
      <c r="L207" s="407"/>
      <c r="M207" s="197"/>
      <c r="N207" s="197"/>
      <c r="O207" s="197"/>
    </row>
    <row r="208" spans="1:15" ht="27" customHeight="1">
      <c r="A208" s="420" t="s">
        <v>435</v>
      </c>
      <c r="B208" s="396">
        <f t="shared" si="19"/>
        <v>3458</v>
      </c>
      <c r="C208" s="416">
        <v>0</v>
      </c>
      <c r="D208" s="417">
        <v>1132</v>
      </c>
      <c r="E208" s="495">
        <v>0</v>
      </c>
      <c r="F208" s="495">
        <v>0</v>
      </c>
      <c r="G208" s="417">
        <v>600</v>
      </c>
      <c r="H208" s="417">
        <v>595</v>
      </c>
      <c r="I208" s="418">
        <v>0</v>
      </c>
      <c r="J208" s="419">
        <v>0</v>
      </c>
      <c r="K208" s="174"/>
      <c r="L208" s="349"/>
      <c r="M208" s="174"/>
      <c r="N208" s="174"/>
      <c r="O208" s="174"/>
    </row>
    <row r="209" spans="1:15" ht="27" customHeight="1">
      <c r="A209" s="420" t="s">
        <v>516</v>
      </c>
      <c r="B209" s="396">
        <f t="shared" si="19"/>
        <v>13226</v>
      </c>
      <c r="C209" s="417">
        <f>C210</f>
        <v>8536</v>
      </c>
      <c r="D209" s="417">
        <v>3000</v>
      </c>
      <c r="E209" s="495">
        <v>0</v>
      </c>
      <c r="F209" s="495">
        <v>0</v>
      </c>
      <c r="G209" s="417">
        <v>5</v>
      </c>
      <c r="H209" s="417">
        <f>387+194</f>
        <v>581</v>
      </c>
      <c r="I209" s="418">
        <v>0</v>
      </c>
      <c r="J209" s="419">
        <v>0</v>
      </c>
      <c r="K209" s="174"/>
      <c r="L209" s="349"/>
      <c r="M209" s="174"/>
      <c r="N209" s="174"/>
      <c r="O209" s="174"/>
    </row>
    <row r="210" spans="1:27" s="196" customFormat="1" ht="49.5" customHeight="1">
      <c r="A210" s="562" t="s">
        <v>566</v>
      </c>
      <c r="B210" s="199">
        <f>B211+B214+B215+B216+B217</f>
        <v>8536</v>
      </c>
      <c r="C210" s="563">
        <f>SUM(C211:C217)</f>
        <v>8536</v>
      </c>
      <c r="D210" s="346">
        <v>0</v>
      </c>
      <c r="E210" s="561">
        <v>0</v>
      </c>
      <c r="F210" s="561">
        <v>0</v>
      </c>
      <c r="G210" s="561">
        <v>0</v>
      </c>
      <c r="H210" s="346">
        <v>0</v>
      </c>
      <c r="I210" s="561">
        <v>0</v>
      </c>
      <c r="J210" s="564">
        <v>0</v>
      </c>
      <c r="K210" s="197"/>
      <c r="L210" s="197"/>
      <c r="M210" s="197"/>
      <c r="N210" s="197"/>
      <c r="O210" s="197"/>
      <c r="T210" s="197"/>
      <c r="U210" s="197"/>
      <c r="V210" s="197"/>
      <c r="W210" s="197"/>
      <c r="X210" s="197"/>
      <c r="Y210" s="197"/>
      <c r="Z210" s="197"/>
      <c r="AA210" s="197"/>
    </row>
    <row r="211" spans="1:27" s="196" customFormat="1" ht="47.25" customHeight="1">
      <c r="A211" s="565" t="s">
        <v>345</v>
      </c>
      <c r="B211" s="199">
        <f t="shared" si="19"/>
        <v>0</v>
      </c>
      <c r="C211" s="563">
        <v>0</v>
      </c>
      <c r="D211" s="346">
        <v>0</v>
      </c>
      <c r="E211" s="561">
        <v>0</v>
      </c>
      <c r="F211" s="561">
        <v>0</v>
      </c>
      <c r="G211" s="561">
        <v>0</v>
      </c>
      <c r="H211" s="346">
        <v>0</v>
      </c>
      <c r="I211" s="561">
        <v>0</v>
      </c>
      <c r="J211" s="564">
        <v>0</v>
      </c>
      <c r="K211" s="197"/>
      <c r="L211" s="197"/>
      <c r="M211" s="197"/>
      <c r="N211" s="197"/>
      <c r="O211" s="197"/>
      <c r="T211" s="197"/>
      <c r="U211" s="197"/>
      <c r="V211" s="197"/>
      <c r="W211" s="197"/>
      <c r="X211" s="197"/>
      <c r="Y211" s="197"/>
      <c r="Z211" s="197"/>
      <c r="AA211" s="197"/>
    </row>
    <row r="212" spans="1:27" s="196" customFormat="1" ht="34.5" customHeight="1">
      <c r="A212" s="565" t="s">
        <v>519</v>
      </c>
      <c r="B212" s="199">
        <f t="shared" si="19"/>
        <v>0</v>
      </c>
      <c r="C212" s="563">
        <v>0</v>
      </c>
      <c r="D212" s="346">
        <v>0</v>
      </c>
      <c r="E212" s="561">
        <v>0</v>
      </c>
      <c r="F212" s="561">
        <v>0</v>
      </c>
      <c r="G212" s="561">
        <v>0</v>
      </c>
      <c r="H212" s="346">
        <v>0</v>
      </c>
      <c r="I212" s="561">
        <v>0</v>
      </c>
      <c r="J212" s="564">
        <v>0</v>
      </c>
      <c r="K212" s="197"/>
      <c r="L212" s="197"/>
      <c r="M212" s="197"/>
      <c r="N212" s="197"/>
      <c r="O212" s="197"/>
      <c r="T212" s="197"/>
      <c r="U212" s="197"/>
      <c r="V212" s="197"/>
      <c r="W212" s="197"/>
      <c r="X212" s="197"/>
      <c r="Y212" s="197"/>
      <c r="Z212" s="197"/>
      <c r="AA212" s="197"/>
    </row>
    <row r="213" spans="1:27" s="196" customFormat="1" ht="22.5" customHeight="1">
      <c r="A213" s="565" t="s">
        <v>520</v>
      </c>
      <c r="B213" s="199">
        <f t="shared" si="19"/>
        <v>0</v>
      </c>
      <c r="C213" s="563">
        <v>0</v>
      </c>
      <c r="D213" s="346">
        <v>0</v>
      </c>
      <c r="E213" s="561">
        <v>0</v>
      </c>
      <c r="F213" s="561">
        <v>0</v>
      </c>
      <c r="G213" s="561">
        <v>0</v>
      </c>
      <c r="H213" s="346">
        <v>0</v>
      </c>
      <c r="I213" s="561">
        <v>0</v>
      </c>
      <c r="J213" s="564">
        <v>0</v>
      </c>
      <c r="K213" s="197"/>
      <c r="L213" s="197"/>
      <c r="M213" s="197"/>
      <c r="N213" s="197"/>
      <c r="O213" s="197"/>
      <c r="T213" s="197"/>
      <c r="U213" s="197"/>
      <c r="V213" s="197"/>
      <c r="W213" s="197"/>
      <c r="X213" s="197"/>
      <c r="Y213" s="197"/>
      <c r="Z213" s="197"/>
      <c r="AA213" s="197"/>
    </row>
    <row r="214" spans="1:27" s="196" customFormat="1" ht="30" customHeight="1">
      <c r="A214" s="565" t="s">
        <v>521</v>
      </c>
      <c r="B214" s="199">
        <f t="shared" si="19"/>
        <v>0</v>
      </c>
      <c r="C214" s="563">
        <v>0</v>
      </c>
      <c r="D214" s="346">
        <v>0</v>
      </c>
      <c r="E214" s="561">
        <v>0</v>
      </c>
      <c r="F214" s="561">
        <v>0</v>
      </c>
      <c r="G214" s="561">
        <v>0</v>
      </c>
      <c r="H214" s="346">
        <v>0</v>
      </c>
      <c r="I214" s="561">
        <v>0</v>
      </c>
      <c r="J214" s="564">
        <v>0</v>
      </c>
      <c r="K214" s="197"/>
      <c r="L214" s="197"/>
      <c r="M214" s="197"/>
      <c r="N214" s="197"/>
      <c r="O214" s="197"/>
      <c r="T214" s="197"/>
      <c r="U214" s="197"/>
      <c r="V214" s="197"/>
      <c r="W214" s="197"/>
      <c r="X214" s="197"/>
      <c r="Y214" s="197"/>
      <c r="Z214" s="197"/>
      <c r="AA214" s="197"/>
    </row>
    <row r="215" spans="1:27" s="196" customFormat="1" ht="30" customHeight="1">
      <c r="A215" s="566" t="s">
        <v>135</v>
      </c>
      <c r="B215" s="199">
        <f t="shared" si="19"/>
        <v>124</v>
      </c>
      <c r="C215" s="563">
        <v>124</v>
      </c>
      <c r="D215" s="346">
        <v>0</v>
      </c>
      <c r="E215" s="561">
        <v>0</v>
      </c>
      <c r="F215" s="561">
        <v>0</v>
      </c>
      <c r="G215" s="561">
        <v>0</v>
      </c>
      <c r="H215" s="346">
        <v>0</v>
      </c>
      <c r="I215" s="561">
        <v>0</v>
      </c>
      <c r="J215" s="564">
        <v>0</v>
      </c>
      <c r="K215" s="197"/>
      <c r="L215" s="197"/>
      <c r="M215" s="197"/>
      <c r="N215" s="197"/>
      <c r="O215" s="197"/>
      <c r="T215" s="197"/>
      <c r="U215" s="197"/>
      <c r="V215" s="197"/>
      <c r="W215" s="197"/>
      <c r="X215" s="197"/>
      <c r="Y215" s="197"/>
      <c r="Z215" s="197"/>
      <c r="AA215" s="197"/>
    </row>
    <row r="216" spans="1:27" s="196" customFormat="1" ht="44.25" customHeight="1">
      <c r="A216" s="565" t="s">
        <v>136</v>
      </c>
      <c r="B216" s="199">
        <f t="shared" si="19"/>
        <v>103</v>
      </c>
      <c r="C216" s="563">
        <v>103</v>
      </c>
      <c r="D216" s="346">
        <v>0</v>
      </c>
      <c r="E216" s="561">
        <v>0</v>
      </c>
      <c r="F216" s="561">
        <v>0</v>
      </c>
      <c r="G216" s="561">
        <v>0</v>
      </c>
      <c r="H216" s="346">
        <v>0</v>
      </c>
      <c r="I216" s="561">
        <v>0</v>
      </c>
      <c r="J216" s="564">
        <v>0</v>
      </c>
      <c r="K216" s="197"/>
      <c r="L216" s="197"/>
      <c r="M216" s="197"/>
      <c r="N216" s="197"/>
      <c r="O216" s="197"/>
      <c r="T216" s="197"/>
      <c r="U216" s="197"/>
      <c r="V216" s="197"/>
      <c r="W216" s="197"/>
      <c r="X216" s="197"/>
      <c r="Y216" s="197"/>
      <c r="Z216" s="197"/>
      <c r="AA216" s="197"/>
    </row>
    <row r="217" spans="1:27" s="196" customFormat="1" ht="28.5" customHeight="1">
      <c r="A217" s="565" t="s">
        <v>535</v>
      </c>
      <c r="B217" s="199">
        <f t="shared" si="19"/>
        <v>8309</v>
      </c>
      <c r="C217" s="563">
        <v>8309</v>
      </c>
      <c r="D217" s="346">
        <v>0</v>
      </c>
      <c r="E217" s="561">
        <v>0</v>
      </c>
      <c r="F217" s="561">
        <v>0</v>
      </c>
      <c r="G217" s="561">
        <v>0</v>
      </c>
      <c r="H217" s="346">
        <v>0</v>
      </c>
      <c r="I217" s="561">
        <v>0</v>
      </c>
      <c r="J217" s="564">
        <v>0</v>
      </c>
      <c r="K217" s="197"/>
      <c r="L217" s="197"/>
      <c r="M217" s="197"/>
      <c r="N217" s="197"/>
      <c r="O217" s="197"/>
      <c r="T217" s="197"/>
      <c r="U217" s="197"/>
      <c r="V217" s="197"/>
      <c r="W217" s="197"/>
      <c r="X217" s="197"/>
      <c r="Y217" s="197"/>
      <c r="Z217" s="197"/>
      <c r="AA217" s="197"/>
    </row>
    <row r="218" spans="1:15" s="216" customFormat="1" ht="27" customHeight="1">
      <c r="A218" s="420" t="s">
        <v>7</v>
      </c>
      <c r="B218" s="396">
        <f>ROUND(C218+D218+G218+H218*2.9+J218*$L$1+I218,0)</f>
        <v>650</v>
      </c>
      <c r="C218" s="416">
        <v>0</v>
      </c>
      <c r="D218" s="417">
        <v>215</v>
      </c>
      <c r="E218" s="495">
        <v>0</v>
      </c>
      <c r="F218" s="495">
        <v>0</v>
      </c>
      <c r="G218" s="417">
        <v>0</v>
      </c>
      <c r="H218" s="417">
        <v>150</v>
      </c>
      <c r="I218" s="418">
        <v>0</v>
      </c>
      <c r="J218" s="419">
        <v>0</v>
      </c>
      <c r="K218" s="215"/>
      <c r="L218" s="358"/>
      <c r="M218" s="215"/>
      <c r="N218" s="215"/>
      <c r="O218" s="215"/>
    </row>
    <row r="219" spans="1:15" s="216" customFormat="1" ht="27" customHeight="1">
      <c r="A219" s="420" t="s">
        <v>525</v>
      </c>
      <c r="B219" s="396">
        <f t="shared" si="19"/>
        <v>13920</v>
      </c>
      <c r="C219" s="417">
        <f>C220</f>
        <v>7289</v>
      </c>
      <c r="D219" s="417">
        <f>1855+1241</f>
        <v>3096</v>
      </c>
      <c r="E219" s="495">
        <v>495</v>
      </c>
      <c r="F219" s="495">
        <v>0</v>
      </c>
      <c r="G219" s="417">
        <f>103+77</f>
        <v>180</v>
      </c>
      <c r="H219" s="417">
        <f>631+526</f>
        <v>1157</v>
      </c>
      <c r="I219" s="418">
        <v>0</v>
      </c>
      <c r="J219" s="419">
        <v>0</v>
      </c>
      <c r="K219" s="215"/>
      <c r="L219" s="358"/>
      <c r="M219" s="215"/>
      <c r="N219" s="215"/>
      <c r="O219" s="215"/>
    </row>
    <row r="220" spans="1:15" s="196" customFormat="1" ht="47.25" customHeight="1">
      <c r="A220" s="562" t="s">
        <v>566</v>
      </c>
      <c r="B220" s="199">
        <f>B221+B224+B225+B226+B227</f>
        <v>7289</v>
      </c>
      <c r="C220" s="577">
        <f>SUM(C225:C227)</f>
        <v>7289</v>
      </c>
      <c r="D220" s="346">
        <v>0</v>
      </c>
      <c r="E220" s="561">
        <v>0</v>
      </c>
      <c r="F220" s="561">
        <v>0</v>
      </c>
      <c r="G220" s="561">
        <v>0</v>
      </c>
      <c r="H220" s="346">
        <v>0</v>
      </c>
      <c r="I220" s="561">
        <v>0</v>
      </c>
      <c r="J220" s="564">
        <v>0</v>
      </c>
      <c r="K220" s="197"/>
      <c r="L220" s="407"/>
      <c r="M220" s="197"/>
      <c r="N220" s="197"/>
      <c r="O220" s="197"/>
    </row>
    <row r="221" spans="1:15" s="196" customFormat="1" ht="42.75" customHeight="1">
      <c r="A221" s="565" t="s">
        <v>345</v>
      </c>
      <c r="B221" s="199">
        <f t="shared" si="19"/>
        <v>0</v>
      </c>
      <c r="C221" s="563">
        <v>0</v>
      </c>
      <c r="D221" s="346">
        <v>0</v>
      </c>
      <c r="E221" s="561">
        <v>0</v>
      </c>
      <c r="F221" s="561">
        <v>0</v>
      </c>
      <c r="G221" s="561">
        <v>0</v>
      </c>
      <c r="H221" s="346">
        <v>0</v>
      </c>
      <c r="I221" s="561">
        <v>0</v>
      </c>
      <c r="J221" s="564">
        <v>0</v>
      </c>
      <c r="K221" s="197"/>
      <c r="L221" s="407"/>
      <c r="M221" s="197"/>
      <c r="N221" s="197"/>
      <c r="O221" s="197"/>
    </row>
    <row r="222" spans="1:15" s="196" customFormat="1" ht="34.5" customHeight="1">
      <c r="A222" s="565" t="s">
        <v>519</v>
      </c>
      <c r="B222" s="199">
        <f t="shared" si="19"/>
        <v>0</v>
      </c>
      <c r="C222" s="563">
        <v>0</v>
      </c>
      <c r="D222" s="346">
        <v>0</v>
      </c>
      <c r="E222" s="561">
        <v>0</v>
      </c>
      <c r="F222" s="561">
        <v>0</v>
      </c>
      <c r="G222" s="561">
        <v>0</v>
      </c>
      <c r="H222" s="346">
        <v>0</v>
      </c>
      <c r="I222" s="561">
        <v>0</v>
      </c>
      <c r="J222" s="564">
        <v>0</v>
      </c>
      <c r="K222" s="197"/>
      <c r="L222" s="407"/>
      <c r="M222" s="197"/>
      <c r="N222" s="197"/>
      <c r="O222" s="197"/>
    </row>
    <row r="223" spans="1:15" s="196" customFormat="1" ht="27" customHeight="1">
      <c r="A223" s="565" t="s">
        <v>520</v>
      </c>
      <c r="B223" s="199">
        <f t="shared" si="19"/>
        <v>0</v>
      </c>
      <c r="C223" s="563">
        <v>0</v>
      </c>
      <c r="D223" s="346">
        <v>0</v>
      </c>
      <c r="E223" s="561">
        <v>0</v>
      </c>
      <c r="F223" s="561">
        <v>0</v>
      </c>
      <c r="G223" s="561">
        <v>0</v>
      </c>
      <c r="H223" s="346">
        <v>0</v>
      </c>
      <c r="I223" s="561">
        <v>0</v>
      </c>
      <c r="J223" s="564">
        <v>0</v>
      </c>
      <c r="K223" s="197"/>
      <c r="L223" s="407"/>
      <c r="M223" s="197"/>
      <c r="N223" s="197"/>
      <c r="O223" s="197"/>
    </row>
    <row r="224" spans="1:15" s="196" customFormat="1" ht="37.5" customHeight="1">
      <c r="A224" s="565" t="s">
        <v>521</v>
      </c>
      <c r="B224" s="199">
        <f>ROUND(C224+D224+G224+H224*2.9+J224*$L$1+I224,0)</f>
        <v>0</v>
      </c>
      <c r="C224" s="563">
        <v>0</v>
      </c>
      <c r="D224" s="346">
        <v>0</v>
      </c>
      <c r="E224" s="561">
        <v>0</v>
      </c>
      <c r="F224" s="561">
        <v>0</v>
      </c>
      <c r="G224" s="561">
        <v>0</v>
      </c>
      <c r="H224" s="346">
        <v>0</v>
      </c>
      <c r="I224" s="561">
        <v>0</v>
      </c>
      <c r="J224" s="564">
        <v>0</v>
      </c>
      <c r="K224" s="197"/>
      <c r="L224" s="407"/>
      <c r="M224" s="197"/>
      <c r="N224" s="197"/>
      <c r="O224" s="197"/>
    </row>
    <row r="225" spans="1:15" s="196" customFormat="1" ht="27" customHeight="1">
      <c r="A225" s="566" t="s">
        <v>135</v>
      </c>
      <c r="B225" s="199">
        <f>ROUND(C225+D225+G225+H225*2.9+J225*$L$1+I225,0)</f>
        <v>124</v>
      </c>
      <c r="C225" s="577">
        <v>124</v>
      </c>
      <c r="D225" s="346">
        <v>0</v>
      </c>
      <c r="E225" s="561">
        <v>0</v>
      </c>
      <c r="F225" s="561">
        <v>0</v>
      </c>
      <c r="G225" s="561">
        <v>0</v>
      </c>
      <c r="H225" s="346">
        <v>0</v>
      </c>
      <c r="I225" s="561">
        <v>0</v>
      </c>
      <c r="J225" s="564">
        <v>0</v>
      </c>
      <c r="K225" s="197"/>
      <c r="L225" s="407"/>
      <c r="M225" s="197"/>
      <c r="N225" s="197"/>
      <c r="O225" s="197"/>
    </row>
    <row r="226" spans="1:15" s="196" customFormat="1" ht="46.5" customHeight="1">
      <c r="A226" s="565" t="s">
        <v>136</v>
      </c>
      <c r="B226" s="199">
        <f>ROUND(C226+D226+G226+H226*2.9+J226*$L$1+I226,0)</f>
        <v>103</v>
      </c>
      <c r="C226" s="577">
        <v>103</v>
      </c>
      <c r="D226" s="346">
        <v>0</v>
      </c>
      <c r="E226" s="561">
        <v>0</v>
      </c>
      <c r="F226" s="561">
        <v>0</v>
      </c>
      <c r="G226" s="561">
        <v>0</v>
      </c>
      <c r="H226" s="346">
        <v>0</v>
      </c>
      <c r="I226" s="561">
        <v>0</v>
      </c>
      <c r="J226" s="564">
        <v>0</v>
      </c>
      <c r="K226" s="197"/>
      <c r="L226" s="407"/>
      <c r="M226" s="197"/>
      <c r="N226" s="197"/>
      <c r="O226" s="197"/>
    </row>
    <row r="227" spans="1:15" s="196" customFormat="1" ht="27" customHeight="1">
      <c r="A227" s="565" t="s">
        <v>522</v>
      </c>
      <c r="B227" s="199">
        <f>ROUND(C227+D227+G227+H227*2.9+J227*$L$1+I227,0)</f>
        <v>7062</v>
      </c>
      <c r="C227" s="577">
        <v>7062</v>
      </c>
      <c r="D227" s="346">
        <v>0</v>
      </c>
      <c r="E227" s="561">
        <v>0</v>
      </c>
      <c r="F227" s="561">
        <v>0</v>
      </c>
      <c r="G227" s="561">
        <v>0</v>
      </c>
      <c r="H227" s="346">
        <v>0</v>
      </c>
      <c r="I227" s="561">
        <v>0</v>
      </c>
      <c r="J227" s="564">
        <v>0</v>
      </c>
      <c r="K227" s="197"/>
      <c r="L227" s="407"/>
      <c r="M227" s="197"/>
      <c r="N227" s="197"/>
      <c r="O227" s="197"/>
    </row>
    <row r="228" spans="1:15" ht="27" customHeight="1">
      <c r="A228" s="420" t="s">
        <v>526</v>
      </c>
      <c r="B228" s="396">
        <f>ROUND(C228+D228+G228+H228*2.9+J228*$L$1+I228,0)</f>
        <v>15733</v>
      </c>
      <c r="C228" s="417">
        <f>C229</f>
        <v>8690</v>
      </c>
      <c r="D228" s="417">
        <f>1100+1979</f>
        <v>3079</v>
      </c>
      <c r="E228" s="495">
        <v>380</v>
      </c>
      <c r="F228" s="495">
        <v>0</v>
      </c>
      <c r="G228" s="416">
        <v>0</v>
      </c>
      <c r="H228" s="417">
        <f>489+878</f>
        <v>1367</v>
      </c>
      <c r="I228" s="418">
        <v>0</v>
      </c>
      <c r="J228" s="419">
        <v>0</v>
      </c>
      <c r="K228" s="174"/>
      <c r="L228" s="349"/>
      <c r="M228" s="174"/>
      <c r="N228" s="174"/>
      <c r="O228" s="174"/>
    </row>
    <row r="229" spans="1:15" ht="51.75" customHeight="1">
      <c r="A229" s="562" t="s">
        <v>566</v>
      </c>
      <c r="B229" s="199">
        <f>B230+B233+B234+B235+B236</f>
        <v>8690</v>
      </c>
      <c r="C229" s="577">
        <f>SUM(C234:C236)</f>
        <v>8690</v>
      </c>
      <c r="D229" s="346">
        <v>0</v>
      </c>
      <c r="E229" s="346">
        <v>0</v>
      </c>
      <c r="F229" s="346">
        <v>0</v>
      </c>
      <c r="G229" s="346">
        <v>0</v>
      </c>
      <c r="H229" s="346">
        <v>0</v>
      </c>
      <c r="I229" s="346">
        <v>0</v>
      </c>
      <c r="J229" s="564">
        <v>0</v>
      </c>
      <c r="K229" s="174"/>
      <c r="L229" s="349"/>
      <c r="M229" s="174"/>
      <c r="N229" s="174"/>
      <c r="O229" s="174"/>
    </row>
    <row r="230" spans="1:15" ht="46.5" customHeight="1">
      <c r="A230" s="565" t="s">
        <v>345</v>
      </c>
      <c r="B230" s="199">
        <f aca="true" t="shared" si="21" ref="B230:B236">ROUND(C230+D230+G230+H230*2.9+J230*$L$1+I230,0)</f>
        <v>0</v>
      </c>
      <c r="C230" s="218">
        <v>0</v>
      </c>
      <c r="D230" s="346">
        <v>0</v>
      </c>
      <c r="E230" s="346">
        <v>0</v>
      </c>
      <c r="F230" s="346">
        <v>0</v>
      </c>
      <c r="G230" s="346">
        <v>0</v>
      </c>
      <c r="H230" s="346">
        <v>0</v>
      </c>
      <c r="I230" s="346">
        <v>0</v>
      </c>
      <c r="J230" s="325">
        <v>0</v>
      </c>
      <c r="K230" s="174"/>
      <c r="L230" s="349"/>
      <c r="M230" s="174"/>
      <c r="N230" s="174"/>
      <c r="O230" s="174"/>
    </row>
    <row r="231" spans="1:15" ht="27" customHeight="1">
      <c r="A231" s="565" t="s">
        <v>519</v>
      </c>
      <c r="B231" s="199">
        <f t="shared" si="21"/>
        <v>0</v>
      </c>
      <c r="C231" s="218">
        <v>0</v>
      </c>
      <c r="D231" s="346">
        <v>0</v>
      </c>
      <c r="E231" s="346">
        <v>0</v>
      </c>
      <c r="F231" s="346">
        <v>0</v>
      </c>
      <c r="G231" s="346">
        <v>0</v>
      </c>
      <c r="H231" s="346">
        <v>0</v>
      </c>
      <c r="I231" s="346">
        <v>0</v>
      </c>
      <c r="J231" s="325">
        <v>0</v>
      </c>
      <c r="K231" s="174"/>
      <c r="L231" s="349"/>
      <c r="M231" s="174"/>
      <c r="N231" s="174"/>
      <c r="O231" s="174"/>
    </row>
    <row r="232" spans="1:15" ht="27" customHeight="1">
      <c r="A232" s="565" t="s">
        <v>520</v>
      </c>
      <c r="B232" s="199">
        <f t="shared" si="21"/>
        <v>0</v>
      </c>
      <c r="C232" s="218">
        <v>0</v>
      </c>
      <c r="D232" s="346">
        <v>0</v>
      </c>
      <c r="E232" s="346">
        <v>0</v>
      </c>
      <c r="F232" s="346">
        <v>0</v>
      </c>
      <c r="G232" s="346">
        <v>0</v>
      </c>
      <c r="H232" s="346">
        <v>0</v>
      </c>
      <c r="I232" s="346">
        <v>0</v>
      </c>
      <c r="J232" s="325">
        <v>0</v>
      </c>
      <c r="K232" s="174"/>
      <c r="L232" s="349"/>
      <c r="M232" s="174"/>
      <c r="N232" s="174"/>
      <c r="O232" s="174"/>
    </row>
    <row r="233" spans="1:15" ht="27" customHeight="1">
      <c r="A233" s="565" t="s">
        <v>521</v>
      </c>
      <c r="B233" s="199">
        <f t="shared" si="21"/>
        <v>0</v>
      </c>
      <c r="C233" s="218">
        <v>0</v>
      </c>
      <c r="D233" s="346">
        <v>0</v>
      </c>
      <c r="E233" s="346">
        <v>0</v>
      </c>
      <c r="F233" s="346">
        <v>0</v>
      </c>
      <c r="G233" s="346">
        <v>0</v>
      </c>
      <c r="H233" s="346">
        <v>0</v>
      </c>
      <c r="I233" s="346">
        <v>0</v>
      </c>
      <c r="J233" s="325">
        <v>0</v>
      </c>
      <c r="K233" s="174"/>
      <c r="L233" s="349"/>
      <c r="M233" s="174"/>
      <c r="N233" s="174"/>
      <c r="O233" s="174"/>
    </row>
    <row r="234" spans="1:15" ht="27" customHeight="1">
      <c r="A234" s="566" t="s">
        <v>135</v>
      </c>
      <c r="B234" s="199">
        <f t="shared" si="21"/>
        <v>124</v>
      </c>
      <c r="C234" s="577">
        <v>124</v>
      </c>
      <c r="D234" s="346">
        <v>0</v>
      </c>
      <c r="E234" s="346">
        <v>0</v>
      </c>
      <c r="F234" s="346">
        <v>0</v>
      </c>
      <c r="G234" s="346">
        <v>0</v>
      </c>
      <c r="H234" s="346">
        <v>0</v>
      </c>
      <c r="I234" s="346">
        <v>0</v>
      </c>
      <c r="J234" s="564">
        <v>0</v>
      </c>
      <c r="K234" s="174"/>
      <c r="L234" s="349"/>
      <c r="M234" s="174"/>
      <c r="N234" s="174"/>
      <c r="O234" s="174"/>
    </row>
    <row r="235" spans="1:15" ht="43.5" customHeight="1">
      <c r="A235" s="565" t="s">
        <v>136</v>
      </c>
      <c r="B235" s="199">
        <f t="shared" si="21"/>
        <v>103</v>
      </c>
      <c r="C235" s="577">
        <v>103</v>
      </c>
      <c r="D235" s="346">
        <v>0</v>
      </c>
      <c r="E235" s="346">
        <v>0</v>
      </c>
      <c r="F235" s="346">
        <v>0</v>
      </c>
      <c r="G235" s="346">
        <v>0</v>
      </c>
      <c r="H235" s="346">
        <v>0</v>
      </c>
      <c r="I235" s="346">
        <v>0</v>
      </c>
      <c r="J235" s="564">
        <v>0</v>
      </c>
      <c r="K235" s="174"/>
      <c r="L235" s="349"/>
      <c r="M235" s="174"/>
      <c r="N235" s="174"/>
      <c r="O235" s="174"/>
    </row>
    <row r="236" spans="1:15" ht="27" customHeight="1">
      <c r="A236" s="565" t="s">
        <v>535</v>
      </c>
      <c r="B236" s="199">
        <f t="shared" si="21"/>
        <v>8463</v>
      </c>
      <c r="C236" s="577">
        <v>8463</v>
      </c>
      <c r="D236" s="346">
        <v>0</v>
      </c>
      <c r="E236" s="346">
        <v>0</v>
      </c>
      <c r="F236" s="346">
        <v>0</v>
      </c>
      <c r="G236" s="346">
        <v>0</v>
      </c>
      <c r="H236" s="346">
        <v>0</v>
      </c>
      <c r="I236" s="346">
        <v>0</v>
      </c>
      <c r="J236" s="564">
        <v>0</v>
      </c>
      <c r="K236" s="174"/>
      <c r="L236" s="349"/>
      <c r="M236" s="174"/>
      <c r="N236" s="174"/>
      <c r="O236" s="174"/>
    </row>
    <row r="237" spans="1:15" ht="27" customHeight="1">
      <c r="A237" s="420" t="s">
        <v>342</v>
      </c>
      <c r="B237" s="399">
        <f>ROUND(C237+D237+G237+H237*2.9+J237*$L$1+I237,0)</f>
        <v>138080</v>
      </c>
      <c r="C237" s="417">
        <f>C238</f>
        <v>19181</v>
      </c>
      <c r="D237" s="417">
        <v>19797</v>
      </c>
      <c r="E237" s="495">
        <v>0</v>
      </c>
      <c r="F237" s="495">
        <v>0</v>
      </c>
      <c r="G237" s="417">
        <v>15176</v>
      </c>
      <c r="H237" s="417">
        <v>28940</v>
      </c>
      <c r="I237" s="418">
        <v>0</v>
      </c>
      <c r="J237" s="578">
        <v>0</v>
      </c>
      <c r="K237" s="174"/>
      <c r="L237" s="349"/>
      <c r="M237" s="174"/>
      <c r="N237" s="174"/>
      <c r="O237" s="174"/>
    </row>
    <row r="238" spans="1:15" s="196" customFormat="1" ht="53.25" customHeight="1">
      <c r="A238" s="562" t="s">
        <v>566</v>
      </c>
      <c r="B238" s="199">
        <f>B239+B242+B243+B244+B245</f>
        <v>19181</v>
      </c>
      <c r="C238" s="577">
        <f>SUM(C243:C245)</f>
        <v>19181</v>
      </c>
      <c r="D238" s="346">
        <v>0</v>
      </c>
      <c r="E238" s="561">
        <v>0</v>
      </c>
      <c r="F238" s="561">
        <v>0</v>
      </c>
      <c r="G238" s="561">
        <v>0</v>
      </c>
      <c r="H238" s="346">
        <v>0</v>
      </c>
      <c r="I238" s="561">
        <v>0</v>
      </c>
      <c r="J238" s="564">
        <v>0</v>
      </c>
      <c r="K238" s="197"/>
      <c r="L238" s="407"/>
      <c r="M238" s="197"/>
      <c r="N238" s="197"/>
      <c r="O238" s="197"/>
    </row>
    <row r="239" spans="1:15" s="196" customFormat="1" ht="42" customHeight="1">
      <c r="A239" s="565" t="s">
        <v>345</v>
      </c>
      <c r="B239" s="199">
        <f aca="true" t="shared" si="22" ref="B239:B245">ROUND(C239+D239+G239+H239*2.9+J239*$L$1+I239,0)</f>
        <v>0</v>
      </c>
      <c r="C239" s="563">
        <v>0</v>
      </c>
      <c r="D239" s="346">
        <v>0</v>
      </c>
      <c r="E239" s="561">
        <v>0</v>
      </c>
      <c r="F239" s="561">
        <v>0</v>
      </c>
      <c r="G239" s="561">
        <v>0</v>
      </c>
      <c r="H239" s="346">
        <v>0</v>
      </c>
      <c r="I239" s="561">
        <v>0</v>
      </c>
      <c r="J239" s="564">
        <v>0</v>
      </c>
      <c r="K239" s="197"/>
      <c r="L239" s="407"/>
      <c r="M239" s="197"/>
      <c r="N239" s="197"/>
      <c r="O239" s="197"/>
    </row>
    <row r="240" spans="1:15" s="196" customFormat="1" ht="31.5" customHeight="1">
      <c r="A240" s="565" t="s">
        <v>519</v>
      </c>
      <c r="B240" s="199">
        <f t="shared" si="22"/>
        <v>0</v>
      </c>
      <c r="C240" s="563">
        <v>0</v>
      </c>
      <c r="D240" s="346">
        <v>0</v>
      </c>
      <c r="E240" s="561">
        <v>0</v>
      </c>
      <c r="F240" s="561">
        <v>0</v>
      </c>
      <c r="G240" s="561">
        <v>0</v>
      </c>
      <c r="H240" s="346">
        <v>0</v>
      </c>
      <c r="I240" s="561">
        <v>0</v>
      </c>
      <c r="J240" s="564">
        <v>0</v>
      </c>
      <c r="K240" s="197"/>
      <c r="L240" s="407"/>
      <c r="M240" s="197"/>
      <c r="N240" s="197"/>
      <c r="O240" s="197"/>
    </row>
    <row r="241" spans="1:15" s="196" customFormat="1" ht="19.5" customHeight="1">
      <c r="A241" s="565" t="s">
        <v>520</v>
      </c>
      <c r="B241" s="199">
        <f t="shared" si="22"/>
        <v>0</v>
      </c>
      <c r="C241" s="563">
        <v>0</v>
      </c>
      <c r="D241" s="346">
        <v>0</v>
      </c>
      <c r="E241" s="561">
        <v>0</v>
      </c>
      <c r="F241" s="561">
        <v>0</v>
      </c>
      <c r="G241" s="561">
        <v>0</v>
      </c>
      <c r="H241" s="346">
        <v>0</v>
      </c>
      <c r="I241" s="561">
        <v>0</v>
      </c>
      <c r="J241" s="564">
        <v>0</v>
      </c>
      <c r="K241" s="197"/>
      <c r="L241" s="407"/>
      <c r="M241" s="197"/>
      <c r="N241" s="197"/>
      <c r="O241" s="197"/>
    </row>
    <row r="242" spans="1:15" s="196" customFormat="1" ht="29.25" customHeight="1">
      <c r="A242" s="565" t="s">
        <v>521</v>
      </c>
      <c r="B242" s="199">
        <f t="shared" si="22"/>
        <v>0</v>
      </c>
      <c r="C242" s="563">
        <v>0</v>
      </c>
      <c r="D242" s="346">
        <v>0</v>
      </c>
      <c r="E242" s="561">
        <v>0</v>
      </c>
      <c r="F242" s="561">
        <v>0</v>
      </c>
      <c r="G242" s="561">
        <v>0</v>
      </c>
      <c r="H242" s="346">
        <v>0</v>
      </c>
      <c r="I242" s="561">
        <v>0</v>
      </c>
      <c r="J242" s="564">
        <v>0</v>
      </c>
      <c r="K242" s="197"/>
      <c r="L242" s="407"/>
      <c r="M242" s="197"/>
      <c r="N242" s="197"/>
      <c r="O242" s="197"/>
    </row>
    <row r="243" spans="1:15" s="196" customFormat="1" ht="29.25" customHeight="1">
      <c r="A243" s="566" t="s">
        <v>135</v>
      </c>
      <c r="B243" s="199">
        <f t="shared" si="22"/>
        <v>124</v>
      </c>
      <c r="C243" s="577">
        <f>'1.1. ПРОФ.МЕРОПРИЯТИЯ (КП)'!C10</f>
        <v>124</v>
      </c>
      <c r="D243" s="346">
        <v>0</v>
      </c>
      <c r="E243" s="561">
        <v>0</v>
      </c>
      <c r="F243" s="561">
        <v>0</v>
      </c>
      <c r="G243" s="561">
        <v>0</v>
      </c>
      <c r="H243" s="346">
        <v>0</v>
      </c>
      <c r="I243" s="561">
        <v>0</v>
      </c>
      <c r="J243" s="564">
        <v>0</v>
      </c>
      <c r="K243" s="197"/>
      <c r="L243" s="407"/>
      <c r="M243" s="197"/>
      <c r="N243" s="197"/>
      <c r="O243" s="197"/>
    </row>
    <row r="244" spans="1:15" s="196" customFormat="1" ht="46.5" customHeight="1">
      <c r="A244" s="565" t="s">
        <v>136</v>
      </c>
      <c r="B244" s="199">
        <f t="shared" si="22"/>
        <v>103</v>
      </c>
      <c r="C244" s="577">
        <f>'1.1. ПРОФ.МЕРОПРИЯТИЯ (КП)'!D10</f>
        <v>103</v>
      </c>
      <c r="D244" s="346">
        <v>0</v>
      </c>
      <c r="E244" s="561">
        <v>0</v>
      </c>
      <c r="F244" s="561">
        <v>0</v>
      </c>
      <c r="G244" s="561">
        <v>0</v>
      </c>
      <c r="H244" s="346">
        <v>0</v>
      </c>
      <c r="I244" s="561">
        <v>0</v>
      </c>
      <c r="J244" s="564">
        <v>0</v>
      </c>
      <c r="K244" s="197"/>
      <c r="L244" s="407"/>
      <c r="M244" s="197"/>
      <c r="N244" s="197"/>
      <c r="O244" s="197"/>
    </row>
    <row r="245" spans="1:15" s="196" customFormat="1" ht="29.25" customHeight="1">
      <c r="A245" s="565" t="s">
        <v>535</v>
      </c>
      <c r="B245" s="199">
        <f t="shared" si="22"/>
        <v>18954</v>
      </c>
      <c r="C245" s="577">
        <f>'1.1. ПРОФ.МЕРОПРИЯТИЯ (КП)'!I10</f>
        <v>18954</v>
      </c>
      <c r="D245" s="346">
        <v>0</v>
      </c>
      <c r="E245" s="561">
        <v>0</v>
      </c>
      <c r="F245" s="561">
        <v>0</v>
      </c>
      <c r="G245" s="561">
        <v>0</v>
      </c>
      <c r="H245" s="346">
        <v>0</v>
      </c>
      <c r="I245" s="561">
        <v>0</v>
      </c>
      <c r="J245" s="564">
        <v>0</v>
      </c>
      <c r="K245" s="197"/>
      <c r="L245" s="407"/>
      <c r="M245" s="197"/>
      <c r="N245" s="197"/>
      <c r="O245" s="197"/>
    </row>
    <row r="246" spans="1:15" ht="27" customHeight="1">
      <c r="A246" s="420" t="s">
        <v>536</v>
      </c>
      <c r="B246" s="396">
        <f>ROUND(C246+D246+G246+H246*2.9+J246*$L$1+I246,0)</f>
        <v>17476</v>
      </c>
      <c r="C246" s="417">
        <v>17476</v>
      </c>
      <c r="D246" s="417">
        <v>0</v>
      </c>
      <c r="E246" s="495">
        <v>0</v>
      </c>
      <c r="F246" s="495">
        <v>0</v>
      </c>
      <c r="G246" s="417">
        <v>0</v>
      </c>
      <c r="H246" s="417">
        <v>0</v>
      </c>
      <c r="I246" s="418">
        <v>0</v>
      </c>
      <c r="J246" s="419">
        <v>0</v>
      </c>
      <c r="K246" s="174"/>
      <c r="L246" s="349"/>
      <c r="M246" s="174"/>
      <c r="N246" s="174"/>
      <c r="O246" s="174"/>
    </row>
    <row r="247" spans="1:15" s="196" customFormat="1" ht="54" customHeight="1">
      <c r="A247" s="562" t="s">
        <v>566</v>
      </c>
      <c r="B247" s="199">
        <f>B248+B251+B252+B253+B254</f>
        <v>17476</v>
      </c>
      <c r="C247" s="577">
        <f>SUM(C252:C254)</f>
        <v>17476</v>
      </c>
      <c r="D247" s="346">
        <v>0</v>
      </c>
      <c r="E247" s="561">
        <v>0</v>
      </c>
      <c r="F247" s="561">
        <v>0</v>
      </c>
      <c r="G247" s="561">
        <v>0</v>
      </c>
      <c r="H247" s="346">
        <v>0</v>
      </c>
      <c r="I247" s="561">
        <v>0</v>
      </c>
      <c r="J247" s="564">
        <v>0</v>
      </c>
      <c r="K247" s="197"/>
      <c r="L247" s="407"/>
      <c r="M247" s="197"/>
      <c r="N247" s="197"/>
      <c r="O247" s="197"/>
    </row>
    <row r="248" spans="1:15" s="196" customFormat="1" ht="48" customHeight="1">
      <c r="A248" s="565" t="s">
        <v>345</v>
      </c>
      <c r="B248" s="199">
        <f aca="true" t="shared" si="23" ref="B248:B254">ROUND(C248+D248+G248+H248*2.9+J248*$L$1+I248,0)</f>
        <v>0</v>
      </c>
      <c r="C248" s="563">
        <v>0</v>
      </c>
      <c r="D248" s="346">
        <v>0</v>
      </c>
      <c r="E248" s="561">
        <v>0</v>
      </c>
      <c r="F248" s="561">
        <v>0</v>
      </c>
      <c r="G248" s="561">
        <v>0</v>
      </c>
      <c r="H248" s="346">
        <v>0</v>
      </c>
      <c r="I248" s="561">
        <v>0</v>
      </c>
      <c r="J248" s="564">
        <v>0</v>
      </c>
      <c r="K248" s="197"/>
      <c r="L248" s="407"/>
      <c r="M248" s="197"/>
      <c r="N248" s="197"/>
      <c r="O248" s="197"/>
    </row>
    <row r="249" spans="1:15" s="196" customFormat="1" ht="32.25" customHeight="1">
      <c r="A249" s="565" t="s">
        <v>519</v>
      </c>
      <c r="B249" s="199">
        <f t="shared" si="23"/>
        <v>0</v>
      </c>
      <c r="C249" s="563">
        <v>0</v>
      </c>
      <c r="D249" s="346">
        <v>0</v>
      </c>
      <c r="E249" s="561">
        <v>0</v>
      </c>
      <c r="F249" s="561">
        <v>0</v>
      </c>
      <c r="G249" s="561">
        <v>0</v>
      </c>
      <c r="H249" s="346">
        <v>0</v>
      </c>
      <c r="I249" s="561">
        <v>0</v>
      </c>
      <c r="J249" s="564">
        <v>0</v>
      </c>
      <c r="K249" s="197"/>
      <c r="L249" s="407"/>
      <c r="M249" s="197"/>
      <c r="N249" s="197"/>
      <c r="O249" s="197"/>
    </row>
    <row r="250" spans="1:15" s="196" customFormat="1" ht="21.75" customHeight="1">
      <c r="A250" s="565" t="s">
        <v>520</v>
      </c>
      <c r="B250" s="199">
        <f t="shared" si="23"/>
        <v>0</v>
      </c>
      <c r="C250" s="563">
        <v>0</v>
      </c>
      <c r="D250" s="346">
        <v>0</v>
      </c>
      <c r="E250" s="561">
        <v>0</v>
      </c>
      <c r="F250" s="561">
        <v>0</v>
      </c>
      <c r="G250" s="561">
        <v>0</v>
      </c>
      <c r="H250" s="346">
        <v>0</v>
      </c>
      <c r="I250" s="561">
        <v>0</v>
      </c>
      <c r="J250" s="564">
        <v>0</v>
      </c>
      <c r="K250" s="197"/>
      <c r="L250" s="407"/>
      <c r="M250" s="197"/>
      <c r="N250" s="197"/>
      <c r="O250" s="197"/>
    </row>
    <row r="251" spans="1:15" s="196" customFormat="1" ht="36" customHeight="1">
      <c r="A251" s="565" t="s">
        <v>521</v>
      </c>
      <c r="B251" s="199">
        <f t="shared" si="23"/>
        <v>0</v>
      </c>
      <c r="C251" s="563">
        <v>0</v>
      </c>
      <c r="D251" s="346">
        <v>0</v>
      </c>
      <c r="E251" s="561">
        <v>0</v>
      </c>
      <c r="F251" s="561">
        <v>0</v>
      </c>
      <c r="G251" s="561">
        <v>0</v>
      </c>
      <c r="H251" s="346">
        <v>0</v>
      </c>
      <c r="I251" s="561">
        <v>0</v>
      </c>
      <c r="J251" s="564">
        <v>0</v>
      </c>
      <c r="K251" s="197"/>
      <c r="L251" s="407"/>
      <c r="M251" s="197"/>
      <c r="N251" s="197"/>
      <c r="O251" s="197"/>
    </row>
    <row r="252" spans="1:15" s="196" customFormat="1" ht="27" customHeight="1">
      <c r="A252" s="566" t="s">
        <v>135</v>
      </c>
      <c r="B252" s="199">
        <f t="shared" si="23"/>
        <v>121</v>
      </c>
      <c r="C252" s="577">
        <v>121</v>
      </c>
      <c r="D252" s="346">
        <v>0</v>
      </c>
      <c r="E252" s="561">
        <v>0</v>
      </c>
      <c r="F252" s="561">
        <v>0</v>
      </c>
      <c r="G252" s="561">
        <v>0</v>
      </c>
      <c r="H252" s="346">
        <v>0</v>
      </c>
      <c r="I252" s="561">
        <v>0</v>
      </c>
      <c r="J252" s="564">
        <v>0</v>
      </c>
      <c r="K252" s="197"/>
      <c r="L252" s="407"/>
      <c r="M252" s="197"/>
      <c r="N252" s="197"/>
      <c r="O252" s="197"/>
    </row>
    <row r="253" spans="1:15" s="196" customFormat="1" ht="44.25" customHeight="1">
      <c r="A253" s="565" t="s">
        <v>136</v>
      </c>
      <c r="B253" s="199">
        <f t="shared" si="23"/>
        <v>100</v>
      </c>
      <c r="C253" s="577">
        <v>100</v>
      </c>
      <c r="D253" s="346">
        <v>0</v>
      </c>
      <c r="E253" s="561">
        <v>0</v>
      </c>
      <c r="F253" s="561">
        <v>0</v>
      </c>
      <c r="G253" s="561">
        <v>0</v>
      </c>
      <c r="H253" s="346">
        <v>0</v>
      </c>
      <c r="I253" s="561">
        <v>0</v>
      </c>
      <c r="J253" s="564">
        <v>0</v>
      </c>
      <c r="K253" s="197"/>
      <c r="L253" s="407"/>
      <c r="M253" s="197"/>
      <c r="N253" s="197"/>
      <c r="O253" s="197"/>
    </row>
    <row r="254" spans="1:15" s="196" customFormat="1" ht="29.25" customHeight="1">
      <c r="A254" s="565" t="s">
        <v>535</v>
      </c>
      <c r="B254" s="199">
        <f t="shared" si="23"/>
        <v>17255</v>
      </c>
      <c r="C254" s="577">
        <v>17255</v>
      </c>
      <c r="D254" s="346">
        <v>0</v>
      </c>
      <c r="E254" s="561">
        <v>0</v>
      </c>
      <c r="F254" s="561">
        <v>0</v>
      </c>
      <c r="G254" s="561">
        <v>0</v>
      </c>
      <c r="H254" s="346">
        <v>0</v>
      </c>
      <c r="I254" s="561">
        <v>0</v>
      </c>
      <c r="J254" s="564">
        <v>0</v>
      </c>
      <c r="K254" s="197"/>
      <c r="L254" s="407"/>
      <c r="M254" s="197"/>
      <c r="N254" s="197"/>
      <c r="O254" s="197"/>
    </row>
    <row r="255" spans="1:15" ht="35.25" customHeight="1">
      <c r="A255" s="420" t="s">
        <v>523</v>
      </c>
      <c r="B255" s="396">
        <f>ROUND(C255+D255+G255+H255*2.9+J255*$L$1+I255,0)+1</f>
        <v>12103</v>
      </c>
      <c r="C255" s="417">
        <f>C256</f>
        <v>6450</v>
      </c>
      <c r="D255" s="417">
        <f>1671+1670</f>
        <v>3341</v>
      </c>
      <c r="E255" s="495">
        <v>200</v>
      </c>
      <c r="F255" s="495">
        <v>0</v>
      </c>
      <c r="G255" s="417">
        <v>1244</v>
      </c>
      <c r="H255" s="417">
        <v>368</v>
      </c>
      <c r="I255" s="418">
        <v>0</v>
      </c>
      <c r="J255" s="419">
        <v>0</v>
      </c>
      <c r="K255" s="174"/>
      <c r="L255" s="349"/>
      <c r="M255" s="174"/>
      <c r="N255" s="174"/>
      <c r="O255" s="174"/>
    </row>
    <row r="256" spans="1:15" s="196" customFormat="1" ht="52.5" customHeight="1">
      <c r="A256" s="562" t="s">
        <v>566</v>
      </c>
      <c r="B256" s="199">
        <f>B257+B260+B261+B262+B263</f>
        <v>6450</v>
      </c>
      <c r="C256" s="577">
        <f>SUM(C261:C263)</f>
        <v>6450</v>
      </c>
      <c r="D256" s="346">
        <v>0</v>
      </c>
      <c r="E256" s="561">
        <v>0</v>
      </c>
      <c r="F256" s="561">
        <v>0</v>
      </c>
      <c r="G256" s="561">
        <v>0</v>
      </c>
      <c r="H256" s="346">
        <v>0</v>
      </c>
      <c r="I256" s="561">
        <v>0</v>
      </c>
      <c r="J256" s="564">
        <v>0</v>
      </c>
      <c r="K256" s="197"/>
      <c r="L256" s="407"/>
      <c r="M256" s="197"/>
      <c r="N256" s="197"/>
      <c r="O256" s="197"/>
    </row>
    <row r="257" spans="1:15" s="196" customFormat="1" ht="47.25" customHeight="1">
      <c r="A257" s="565" t="s">
        <v>345</v>
      </c>
      <c r="B257" s="199">
        <f aca="true" t="shared" si="24" ref="B257:B263">ROUND(C257+D257+G257+H257*2.9+J257*$L$1+I257,0)</f>
        <v>0</v>
      </c>
      <c r="C257" s="563">
        <v>0</v>
      </c>
      <c r="D257" s="346">
        <v>0</v>
      </c>
      <c r="E257" s="561">
        <v>0</v>
      </c>
      <c r="F257" s="561">
        <v>0</v>
      </c>
      <c r="G257" s="561">
        <v>0</v>
      </c>
      <c r="H257" s="346">
        <v>0</v>
      </c>
      <c r="I257" s="561">
        <v>0</v>
      </c>
      <c r="J257" s="564">
        <v>0</v>
      </c>
      <c r="K257" s="197"/>
      <c r="L257" s="407"/>
      <c r="M257" s="197"/>
      <c r="N257" s="197"/>
      <c r="O257" s="197"/>
    </row>
    <row r="258" spans="1:15" s="196" customFormat="1" ht="30" customHeight="1">
      <c r="A258" s="565" t="s">
        <v>519</v>
      </c>
      <c r="B258" s="199">
        <f t="shared" si="24"/>
        <v>0</v>
      </c>
      <c r="C258" s="563">
        <v>0</v>
      </c>
      <c r="D258" s="346">
        <v>0</v>
      </c>
      <c r="E258" s="561">
        <v>0</v>
      </c>
      <c r="F258" s="561">
        <v>0</v>
      </c>
      <c r="G258" s="561">
        <v>0</v>
      </c>
      <c r="H258" s="346">
        <v>0</v>
      </c>
      <c r="I258" s="561">
        <v>0</v>
      </c>
      <c r="J258" s="564">
        <v>0</v>
      </c>
      <c r="K258" s="197"/>
      <c r="L258" s="407"/>
      <c r="M258" s="197"/>
      <c r="N258" s="197"/>
      <c r="O258" s="197"/>
    </row>
    <row r="259" spans="1:15" s="196" customFormat="1" ht="24" customHeight="1">
      <c r="A259" s="565" t="s">
        <v>520</v>
      </c>
      <c r="B259" s="199">
        <f t="shared" si="24"/>
        <v>0</v>
      </c>
      <c r="C259" s="563">
        <v>0</v>
      </c>
      <c r="D259" s="346">
        <v>0</v>
      </c>
      <c r="E259" s="561">
        <v>0</v>
      </c>
      <c r="F259" s="561">
        <v>0</v>
      </c>
      <c r="G259" s="561">
        <v>0</v>
      </c>
      <c r="H259" s="346">
        <v>0</v>
      </c>
      <c r="I259" s="561">
        <v>0</v>
      </c>
      <c r="J259" s="564">
        <v>0</v>
      </c>
      <c r="K259" s="197"/>
      <c r="L259" s="407"/>
      <c r="M259" s="197"/>
      <c r="N259" s="197"/>
      <c r="O259" s="197"/>
    </row>
    <row r="260" spans="1:15" s="196" customFormat="1" ht="27" customHeight="1">
      <c r="A260" s="565" t="s">
        <v>521</v>
      </c>
      <c r="B260" s="199">
        <f t="shared" si="24"/>
        <v>0</v>
      </c>
      <c r="C260" s="563">
        <v>0</v>
      </c>
      <c r="D260" s="346">
        <v>0</v>
      </c>
      <c r="E260" s="561">
        <v>0</v>
      </c>
      <c r="F260" s="561">
        <v>0</v>
      </c>
      <c r="G260" s="561">
        <v>0</v>
      </c>
      <c r="H260" s="346">
        <v>0</v>
      </c>
      <c r="I260" s="561">
        <v>0</v>
      </c>
      <c r="J260" s="564">
        <v>0</v>
      </c>
      <c r="K260" s="197"/>
      <c r="L260" s="407"/>
      <c r="M260" s="197"/>
      <c r="N260" s="197"/>
      <c r="O260" s="197"/>
    </row>
    <row r="261" spans="1:15" s="196" customFormat="1" ht="27" customHeight="1">
      <c r="A261" s="566" t="s">
        <v>135</v>
      </c>
      <c r="B261" s="199">
        <f t="shared" si="24"/>
        <v>124</v>
      </c>
      <c r="C261" s="577">
        <v>124</v>
      </c>
      <c r="D261" s="346">
        <v>0</v>
      </c>
      <c r="E261" s="561">
        <v>0</v>
      </c>
      <c r="F261" s="561">
        <v>0</v>
      </c>
      <c r="G261" s="561">
        <v>0</v>
      </c>
      <c r="H261" s="346">
        <v>0</v>
      </c>
      <c r="I261" s="561">
        <v>0</v>
      </c>
      <c r="J261" s="564">
        <v>0</v>
      </c>
      <c r="K261" s="197"/>
      <c r="L261" s="407"/>
      <c r="M261" s="197"/>
      <c r="N261" s="197"/>
      <c r="O261" s="197"/>
    </row>
    <row r="262" spans="1:15" s="196" customFormat="1" ht="27" customHeight="1">
      <c r="A262" s="565" t="s">
        <v>136</v>
      </c>
      <c r="B262" s="199">
        <f t="shared" si="24"/>
        <v>103</v>
      </c>
      <c r="C262" s="577">
        <v>103</v>
      </c>
      <c r="D262" s="346">
        <v>0</v>
      </c>
      <c r="E262" s="561">
        <v>0</v>
      </c>
      <c r="F262" s="561">
        <v>0</v>
      </c>
      <c r="G262" s="561">
        <v>0</v>
      </c>
      <c r="H262" s="346">
        <v>0</v>
      </c>
      <c r="I262" s="561">
        <v>0</v>
      </c>
      <c r="J262" s="564">
        <v>0</v>
      </c>
      <c r="K262" s="197"/>
      <c r="L262" s="407"/>
      <c r="M262" s="197"/>
      <c r="N262" s="197"/>
      <c r="O262" s="197"/>
    </row>
    <row r="263" spans="1:15" s="196" customFormat="1" ht="27" customHeight="1">
      <c r="A263" s="565" t="s">
        <v>535</v>
      </c>
      <c r="B263" s="199">
        <f t="shared" si="24"/>
        <v>6223</v>
      </c>
      <c r="C263" s="577">
        <v>6223</v>
      </c>
      <c r="D263" s="346">
        <v>0</v>
      </c>
      <c r="E263" s="561">
        <v>0</v>
      </c>
      <c r="F263" s="561">
        <v>0</v>
      </c>
      <c r="G263" s="561">
        <v>0</v>
      </c>
      <c r="H263" s="346">
        <v>0</v>
      </c>
      <c r="I263" s="561">
        <v>0</v>
      </c>
      <c r="J263" s="564">
        <v>0</v>
      </c>
      <c r="K263" s="197"/>
      <c r="L263" s="407"/>
      <c r="M263" s="197"/>
      <c r="N263" s="197"/>
      <c r="O263" s="197"/>
    </row>
    <row r="264" spans="1:15" ht="45.75" customHeight="1" thickBot="1">
      <c r="A264" s="428" t="s">
        <v>446</v>
      </c>
      <c r="B264" s="396">
        <f>ROUND(C264+D264+G264+H264*2.9+J264*$L$1+I264,0)</f>
        <v>14307</v>
      </c>
      <c r="C264" s="417"/>
      <c r="D264" s="417">
        <v>14042</v>
      </c>
      <c r="E264" s="495">
        <v>0</v>
      </c>
      <c r="F264" s="495">
        <v>0</v>
      </c>
      <c r="G264" s="417">
        <v>100</v>
      </c>
      <c r="H264" s="417">
        <v>57</v>
      </c>
      <c r="I264" s="561">
        <v>0</v>
      </c>
      <c r="J264" s="429">
        <v>0</v>
      </c>
      <c r="K264" s="174"/>
      <c r="L264" s="349"/>
      <c r="M264" s="174"/>
      <c r="N264" s="174"/>
      <c r="O264" s="174"/>
    </row>
    <row r="265" spans="1:17" ht="30" customHeight="1">
      <c r="A265" s="665" t="s">
        <v>537</v>
      </c>
      <c r="B265" s="666">
        <f aca="true" t="shared" si="25" ref="B265:J265">SUM(B176:B180,B189,B198,B208,B209,B218,B219,B228,B237,,B154,B163,B164,B165,B166,B246,B264,B255,B167)</f>
        <v>304611</v>
      </c>
      <c r="C265" s="666">
        <f t="shared" si="25"/>
        <v>84344</v>
      </c>
      <c r="D265" s="667">
        <f t="shared" si="25"/>
        <v>77735</v>
      </c>
      <c r="E265" s="668">
        <f t="shared" si="25"/>
        <v>1605</v>
      </c>
      <c r="F265" s="668">
        <f t="shared" si="25"/>
        <v>3960</v>
      </c>
      <c r="G265" s="666">
        <f t="shared" si="25"/>
        <v>21570</v>
      </c>
      <c r="H265" s="667">
        <f t="shared" si="25"/>
        <v>41536</v>
      </c>
      <c r="I265" s="666">
        <f t="shared" si="25"/>
        <v>0</v>
      </c>
      <c r="J265" s="669">
        <f t="shared" si="25"/>
        <v>506</v>
      </c>
      <c r="K265" s="475">
        <v>304611</v>
      </c>
      <c r="L265" s="475">
        <f>82340+2004</f>
        <v>84344</v>
      </c>
      <c r="M265" s="475">
        <v>77735</v>
      </c>
      <c r="N265" s="475">
        <v>21570</v>
      </c>
      <c r="O265" s="475">
        <v>41536</v>
      </c>
      <c r="P265" s="475">
        <v>0</v>
      </c>
      <c r="Q265" s="475">
        <v>506</v>
      </c>
    </row>
    <row r="266" spans="1:27" ht="57" customHeight="1">
      <c r="A266" s="562" t="s">
        <v>566</v>
      </c>
      <c r="B266" s="199">
        <f>B267+B270+B271+B272+B273</f>
        <v>84344</v>
      </c>
      <c r="C266" s="563">
        <f>SUM(C267:C273)</f>
        <v>84344</v>
      </c>
      <c r="D266" s="517">
        <f>F266</f>
        <v>3960</v>
      </c>
      <c r="E266" s="561">
        <v>0</v>
      </c>
      <c r="F266" s="563">
        <f>F155+F181+F190+F199+F210+F220+F229+F238+F247+F256+F168</f>
        <v>3960</v>
      </c>
      <c r="G266" s="561">
        <v>0</v>
      </c>
      <c r="H266" s="346">
        <v>0</v>
      </c>
      <c r="I266" s="561">
        <v>0</v>
      </c>
      <c r="J266" s="564">
        <v>0</v>
      </c>
      <c r="K266" s="474">
        <f>K265-B265</f>
        <v>0</v>
      </c>
      <c r="L266" s="474">
        <f>L265-C265</f>
        <v>0</v>
      </c>
      <c r="M266" s="474">
        <f>M265-D265</f>
        <v>0</v>
      </c>
      <c r="N266" s="474">
        <f>N265-G265</f>
        <v>0</v>
      </c>
      <c r="O266" s="474">
        <f>O265-H265</f>
        <v>0</v>
      </c>
      <c r="P266" s="474">
        <f>P265-I265</f>
        <v>0</v>
      </c>
      <c r="Q266" s="474">
        <f>Q265-J265</f>
        <v>0</v>
      </c>
      <c r="T266" s="174"/>
      <c r="U266" s="174"/>
      <c r="V266" s="174"/>
      <c r="W266" s="174"/>
      <c r="X266" s="174"/>
      <c r="Y266" s="174"/>
      <c r="Z266" s="174"/>
      <c r="AA266" s="174"/>
    </row>
    <row r="267" spans="1:27" ht="45" customHeight="1">
      <c r="A267" s="565" t="s">
        <v>345</v>
      </c>
      <c r="B267" s="199">
        <f aca="true" t="shared" si="26" ref="B267:B273">ROUND(C267+D267+G267+H267*2.9+J267*$L$1+I267,0)</f>
        <v>0</v>
      </c>
      <c r="C267" s="563">
        <f aca="true" t="shared" si="27" ref="C267:C273">C156+C182+C191+C200+C211+C221+C230+C239+C248+C257+C169</f>
        <v>0</v>
      </c>
      <c r="D267" s="346">
        <v>0</v>
      </c>
      <c r="E267" s="561">
        <v>0</v>
      </c>
      <c r="F267" s="563">
        <f>F156+F182+F191+F200+F211+F221+F230+F239+F248+F257+F169</f>
        <v>3960</v>
      </c>
      <c r="G267" s="561">
        <v>0</v>
      </c>
      <c r="H267" s="346">
        <v>0</v>
      </c>
      <c r="I267" s="561">
        <v>0</v>
      </c>
      <c r="J267" s="564">
        <v>0</v>
      </c>
      <c r="K267" s="474">
        <v>0</v>
      </c>
      <c r="L267" s="474">
        <f aca="true" t="shared" si="28" ref="L267:L274">K267-B267</f>
        <v>0</v>
      </c>
      <c r="M267" s="174"/>
      <c r="N267" s="174"/>
      <c r="O267" s="174"/>
      <c r="T267" s="174"/>
      <c r="U267" s="174"/>
      <c r="V267" s="174"/>
      <c r="W267" s="174"/>
      <c r="X267" s="174"/>
      <c r="Y267" s="174"/>
      <c r="Z267" s="174"/>
      <c r="AA267" s="174"/>
    </row>
    <row r="268" spans="1:27" ht="30" customHeight="1">
      <c r="A268" s="565" t="s">
        <v>519</v>
      </c>
      <c r="B268" s="199">
        <f t="shared" si="26"/>
        <v>0</v>
      </c>
      <c r="C268" s="563">
        <f t="shared" si="27"/>
        <v>0</v>
      </c>
      <c r="D268" s="346">
        <v>0</v>
      </c>
      <c r="E268" s="561">
        <v>0</v>
      </c>
      <c r="F268" s="561">
        <v>0</v>
      </c>
      <c r="G268" s="561">
        <v>0</v>
      </c>
      <c r="H268" s="346">
        <v>0</v>
      </c>
      <c r="I268" s="561">
        <v>0</v>
      </c>
      <c r="J268" s="564">
        <v>0</v>
      </c>
      <c r="K268" s="474">
        <v>0</v>
      </c>
      <c r="L268" s="474">
        <f t="shared" si="28"/>
        <v>0</v>
      </c>
      <c r="M268" s="174"/>
      <c r="N268" s="174"/>
      <c r="O268" s="174"/>
      <c r="T268" s="174"/>
      <c r="U268" s="174"/>
      <c r="V268" s="174"/>
      <c r="W268" s="174"/>
      <c r="X268" s="174"/>
      <c r="Y268" s="174"/>
      <c r="Z268" s="174"/>
      <c r="AA268" s="174"/>
    </row>
    <row r="269" spans="1:27" ht="23.25" customHeight="1">
      <c r="A269" s="565" t="s">
        <v>520</v>
      </c>
      <c r="B269" s="199">
        <f t="shared" si="26"/>
        <v>0</v>
      </c>
      <c r="C269" s="563">
        <f t="shared" si="27"/>
        <v>0</v>
      </c>
      <c r="D269" s="346">
        <v>0</v>
      </c>
      <c r="E269" s="561">
        <v>0</v>
      </c>
      <c r="F269" s="563">
        <f>F158+F184+F193+F202+F213+F223+F232+F241+F250+F259+F171</f>
        <v>3960</v>
      </c>
      <c r="G269" s="561">
        <v>0</v>
      </c>
      <c r="H269" s="346">
        <v>0</v>
      </c>
      <c r="I269" s="561">
        <v>0</v>
      </c>
      <c r="J269" s="564">
        <v>0</v>
      </c>
      <c r="K269" s="474">
        <v>0</v>
      </c>
      <c r="L269" s="474">
        <f t="shared" si="28"/>
        <v>0</v>
      </c>
      <c r="M269" s="174"/>
      <c r="N269" s="174"/>
      <c r="O269" s="174"/>
      <c r="T269" s="174"/>
      <c r="U269" s="174"/>
      <c r="V269" s="174"/>
      <c r="W269" s="174"/>
      <c r="X269" s="174"/>
      <c r="Y269" s="174"/>
      <c r="Z269" s="174"/>
      <c r="AA269" s="174"/>
    </row>
    <row r="270" spans="1:27" ht="30" customHeight="1">
      <c r="A270" s="565" t="s">
        <v>521</v>
      </c>
      <c r="B270" s="199">
        <f t="shared" si="26"/>
        <v>0</v>
      </c>
      <c r="C270" s="563">
        <f t="shared" si="27"/>
        <v>0</v>
      </c>
      <c r="D270" s="346">
        <v>0</v>
      </c>
      <c r="E270" s="561">
        <v>0</v>
      </c>
      <c r="F270" s="561">
        <v>0</v>
      </c>
      <c r="G270" s="561">
        <v>0</v>
      </c>
      <c r="H270" s="346">
        <v>0</v>
      </c>
      <c r="I270" s="561">
        <v>0</v>
      </c>
      <c r="J270" s="564">
        <v>0</v>
      </c>
      <c r="K270" s="474">
        <v>0</v>
      </c>
      <c r="L270" s="474">
        <f t="shared" si="28"/>
        <v>0</v>
      </c>
      <c r="M270" s="174"/>
      <c r="N270" s="174"/>
      <c r="O270" s="174"/>
      <c r="T270" s="174"/>
      <c r="U270" s="174"/>
      <c r="V270" s="174"/>
      <c r="W270" s="174"/>
      <c r="X270" s="174"/>
      <c r="Y270" s="174"/>
      <c r="Z270" s="174"/>
      <c r="AA270" s="174"/>
    </row>
    <row r="271" spans="1:27" ht="30" customHeight="1">
      <c r="A271" s="566" t="s">
        <v>135</v>
      </c>
      <c r="B271" s="199">
        <f t="shared" si="26"/>
        <v>1095</v>
      </c>
      <c r="C271" s="563">
        <f t="shared" si="27"/>
        <v>1095</v>
      </c>
      <c r="D271" s="346">
        <v>0</v>
      </c>
      <c r="E271" s="561">
        <v>0</v>
      </c>
      <c r="F271" s="561">
        <v>0</v>
      </c>
      <c r="G271" s="561">
        <v>0</v>
      </c>
      <c r="H271" s="346">
        <v>0</v>
      </c>
      <c r="I271" s="561">
        <v>0</v>
      </c>
      <c r="J271" s="564">
        <v>0</v>
      </c>
      <c r="K271" s="474">
        <v>1095</v>
      </c>
      <c r="L271" s="474">
        <f t="shared" si="28"/>
        <v>0</v>
      </c>
      <c r="M271" s="174"/>
      <c r="N271" s="174"/>
      <c r="O271" s="174"/>
      <c r="T271" s="174"/>
      <c r="U271" s="174"/>
      <c r="V271" s="174"/>
      <c r="W271" s="174"/>
      <c r="X271" s="174"/>
      <c r="Y271" s="174"/>
      <c r="Z271" s="174"/>
      <c r="AA271" s="174"/>
    </row>
    <row r="272" spans="1:27" ht="45.75" customHeight="1">
      <c r="A272" s="565" t="s">
        <v>136</v>
      </c>
      <c r="B272" s="199">
        <f t="shared" si="26"/>
        <v>909</v>
      </c>
      <c r="C272" s="563">
        <f t="shared" si="27"/>
        <v>909</v>
      </c>
      <c r="D272" s="346">
        <v>0</v>
      </c>
      <c r="E272" s="561">
        <v>0</v>
      </c>
      <c r="F272" s="561">
        <v>0</v>
      </c>
      <c r="G272" s="561">
        <v>0</v>
      </c>
      <c r="H272" s="346">
        <v>0</v>
      </c>
      <c r="I272" s="561">
        <v>0</v>
      </c>
      <c r="J272" s="564">
        <v>0</v>
      </c>
      <c r="K272" s="474">
        <v>909</v>
      </c>
      <c r="L272" s="474">
        <f t="shared" si="28"/>
        <v>0</v>
      </c>
      <c r="M272" s="174"/>
      <c r="N272" s="174"/>
      <c r="O272" s="174"/>
      <c r="T272" s="174"/>
      <c r="U272" s="174"/>
      <c r="V272" s="174"/>
      <c r="W272" s="174"/>
      <c r="X272" s="174"/>
      <c r="Y272" s="174"/>
      <c r="Z272" s="174"/>
      <c r="AA272" s="174"/>
    </row>
    <row r="273" spans="1:27" ht="31.5" customHeight="1">
      <c r="A273" s="565" t="s">
        <v>535</v>
      </c>
      <c r="B273" s="199">
        <f t="shared" si="26"/>
        <v>82340</v>
      </c>
      <c r="C273" s="563">
        <f t="shared" si="27"/>
        <v>82340</v>
      </c>
      <c r="D273" s="346">
        <v>0</v>
      </c>
      <c r="E273" s="561">
        <v>0</v>
      </c>
      <c r="F273" s="561">
        <v>0</v>
      </c>
      <c r="G273" s="561">
        <v>0</v>
      </c>
      <c r="H273" s="346">
        <v>0</v>
      </c>
      <c r="I273" s="561">
        <v>0</v>
      </c>
      <c r="J273" s="564">
        <v>0</v>
      </c>
      <c r="K273" s="474">
        <v>82340</v>
      </c>
      <c r="L273" s="474">
        <f t="shared" si="28"/>
        <v>0</v>
      </c>
      <c r="M273" s="174"/>
      <c r="N273" s="174"/>
      <c r="O273" s="174"/>
      <c r="T273" s="174"/>
      <c r="U273" s="174"/>
      <c r="V273" s="174"/>
      <c r="W273" s="174"/>
      <c r="X273" s="174"/>
      <c r="Y273" s="174"/>
      <c r="Z273" s="174"/>
      <c r="AA273" s="174"/>
    </row>
    <row r="274" spans="1:27" ht="49.5" customHeight="1" thickBot="1">
      <c r="A274" s="562" t="s">
        <v>578</v>
      </c>
      <c r="B274" s="392">
        <f>B207</f>
        <v>300</v>
      </c>
      <c r="C274" s="434">
        <f>C207</f>
        <v>0</v>
      </c>
      <c r="D274" s="518">
        <f>D207</f>
        <v>30</v>
      </c>
      <c r="E274" s="561">
        <v>0</v>
      </c>
      <c r="F274" s="561">
        <v>0</v>
      </c>
      <c r="G274" s="561">
        <v>0</v>
      </c>
      <c r="H274" s="346">
        <v>0</v>
      </c>
      <c r="I274" s="561">
        <v>0</v>
      </c>
      <c r="J274" s="564">
        <v>0</v>
      </c>
      <c r="K274" s="474">
        <v>300</v>
      </c>
      <c r="L274" s="474">
        <f t="shared" si="28"/>
        <v>0</v>
      </c>
      <c r="M274" s="174"/>
      <c r="N274" s="174"/>
      <c r="O274" s="174"/>
      <c r="T274" s="174"/>
      <c r="U274" s="174"/>
      <c r="V274" s="174"/>
      <c r="W274" s="174"/>
      <c r="X274" s="174"/>
      <c r="Y274" s="174"/>
      <c r="Z274" s="174"/>
      <c r="AA274" s="174"/>
    </row>
    <row r="275" spans="1:15" ht="21.75" customHeight="1">
      <c r="A275" s="838" t="s">
        <v>528</v>
      </c>
      <c r="B275" s="839"/>
      <c r="C275" s="839"/>
      <c r="D275" s="839"/>
      <c r="E275" s="839"/>
      <c r="F275" s="839"/>
      <c r="G275" s="839"/>
      <c r="H275" s="839"/>
      <c r="I275" s="839"/>
      <c r="J275" s="840"/>
      <c r="K275" s="215"/>
      <c r="L275" s="215"/>
      <c r="M275" s="215"/>
      <c r="N275" s="215"/>
      <c r="O275" s="215"/>
    </row>
    <row r="276" spans="1:15" s="216" customFormat="1" ht="20.25" customHeight="1">
      <c r="A276" s="420" t="s">
        <v>64</v>
      </c>
      <c r="B276" s="408">
        <f>ROUND(C276+D276+G276+H276*2.9+J276*$L$1+I276,0)</f>
        <v>6640</v>
      </c>
      <c r="C276" s="440">
        <f>C277</f>
        <v>3702</v>
      </c>
      <c r="D276" s="447">
        <v>780</v>
      </c>
      <c r="E276" s="497">
        <v>0</v>
      </c>
      <c r="F276" s="499">
        <v>0</v>
      </c>
      <c r="G276" s="418">
        <v>212</v>
      </c>
      <c r="H276" s="418">
        <v>671</v>
      </c>
      <c r="I276" s="446">
        <v>0</v>
      </c>
      <c r="J276" s="444">
        <v>0</v>
      </c>
      <c r="K276" s="215"/>
      <c r="L276" s="215"/>
      <c r="M276" s="215"/>
      <c r="N276" s="215"/>
      <c r="O276" s="215"/>
    </row>
    <row r="277" spans="1:15" s="196" customFormat="1" ht="56.25" customHeight="1">
      <c r="A277" s="562" t="s">
        <v>566</v>
      </c>
      <c r="B277" s="199">
        <f>B278+B281+B282+B283+B284</f>
        <v>3702</v>
      </c>
      <c r="C277" s="563">
        <f>C278+C281</f>
        <v>3702</v>
      </c>
      <c r="D277" s="346">
        <v>0</v>
      </c>
      <c r="E277" s="561">
        <v>0</v>
      </c>
      <c r="F277" s="571">
        <f aca="true" t="shared" si="29" ref="F277:F282">F278</f>
        <v>0</v>
      </c>
      <c r="G277" s="561">
        <v>0</v>
      </c>
      <c r="H277" s="346">
        <v>0</v>
      </c>
      <c r="I277" s="579">
        <v>0</v>
      </c>
      <c r="J277" s="564">
        <v>0</v>
      </c>
      <c r="M277" s="197"/>
      <c r="N277" s="197"/>
      <c r="O277" s="197"/>
    </row>
    <row r="278" spans="1:15" s="196" customFormat="1" ht="50.25" customHeight="1">
      <c r="A278" s="565" t="s">
        <v>560</v>
      </c>
      <c r="B278" s="199">
        <f aca="true" t="shared" si="30" ref="B278:B284">ROUND(C278+D278+G278+H278*2.9+J278*$L$1+I278,0)</f>
        <v>3702</v>
      </c>
      <c r="C278" s="563">
        <v>3702</v>
      </c>
      <c r="D278" s="346">
        <v>0</v>
      </c>
      <c r="E278" s="561">
        <v>0</v>
      </c>
      <c r="F278" s="571">
        <f t="shared" si="29"/>
        <v>0</v>
      </c>
      <c r="G278" s="561">
        <v>0</v>
      </c>
      <c r="H278" s="346">
        <v>0</v>
      </c>
      <c r="I278" s="579">
        <v>0</v>
      </c>
      <c r="J278" s="564">
        <v>0</v>
      </c>
      <c r="M278" s="197"/>
      <c r="N278" s="197"/>
      <c r="O278" s="197"/>
    </row>
    <row r="279" spans="1:15" s="196" customFormat="1" ht="33" customHeight="1">
      <c r="A279" s="565" t="s">
        <v>519</v>
      </c>
      <c r="B279" s="199">
        <f t="shared" si="30"/>
        <v>0</v>
      </c>
      <c r="C279" s="563"/>
      <c r="D279" s="346">
        <v>0</v>
      </c>
      <c r="E279" s="561">
        <v>0</v>
      </c>
      <c r="F279" s="571">
        <f t="shared" si="29"/>
        <v>0</v>
      </c>
      <c r="G279" s="561">
        <v>0</v>
      </c>
      <c r="H279" s="346">
        <v>0</v>
      </c>
      <c r="I279" s="579">
        <v>0</v>
      </c>
      <c r="J279" s="564">
        <v>0</v>
      </c>
      <c r="M279" s="197"/>
      <c r="N279" s="197"/>
      <c r="O279" s="197"/>
    </row>
    <row r="280" spans="1:15" s="196" customFormat="1" ht="24" customHeight="1">
      <c r="A280" s="565" t="s">
        <v>520</v>
      </c>
      <c r="B280" s="199">
        <f t="shared" si="30"/>
        <v>0</v>
      </c>
      <c r="C280" s="563"/>
      <c r="D280" s="346">
        <v>0</v>
      </c>
      <c r="E280" s="561">
        <v>0</v>
      </c>
      <c r="F280" s="571">
        <f t="shared" si="29"/>
        <v>0</v>
      </c>
      <c r="G280" s="561">
        <v>0</v>
      </c>
      <c r="H280" s="346">
        <v>0</v>
      </c>
      <c r="I280" s="579">
        <v>0</v>
      </c>
      <c r="J280" s="564"/>
      <c r="M280" s="197"/>
      <c r="N280" s="197"/>
      <c r="O280" s="197"/>
    </row>
    <row r="281" spans="1:15" s="196" customFormat="1" ht="30" customHeight="1">
      <c r="A281" s="565" t="s">
        <v>521</v>
      </c>
      <c r="B281" s="199">
        <f t="shared" si="30"/>
        <v>0</v>
      </c>
      <c r="C281" s="563"/>
      <c r="D281" s="346">
        <v>0</v>
      </c>
      <c r="E281" s="561">
        <v>0</v>
      </c>
      <c r="F281" s="571">
        <f t="shared" si="29"/>
        <v>0</v>
      </c>
      <c r="G281" s="561">
        <v>0</v>
      </c>
      <c r="H281" s="346">
        <v>0</v>
      </c>
      <c r="I281" s="579">
        <v>0</v>
      </c>
      <c r="J281" s="564">
        <v>0</v>
      </c>
      <c r="M281" s="197"/>
      <c r="N281" s="197"/>
      <c r="O281" s="197"/>
    </row>
    <row r="282" spans="1:15" s="196" customFormat="1" ht="30" customHeight="1">
      <c r="A282" s="566" t="s">
        <v>135</v>
      </c>
      <c r="B282" s="199">
        <f t="shared" si="30"/>
        <v>0</v>
      </c>
      <c r="C282" s="563"/>
      <c r="D282" s="346">
        <v>0</v>
      </c>
      <c r="E282" s="561">
        <v>0</v>
      </c>
      <c r="F282" s="571">
        <f t="shared" si="29"/>
        <v>0</v>
      </c>
      <c r="G282" s="561">
        <v>0</v>
      </c>
      <c r="H282" s="346">
        <v>0</v>
      </c>
      <c r="I282" s="579">
        <v>0</v>
      </c>
      <c r="J282" s="564">
        <v>0</v>
      </c>
      <c r="M282" s="197"/>
      <c r="N282" s="197"/>
      <c r="O282" s="197"/>
    </row>
    <row r="283" spans="1:15" s="196" customFormat="1" ht="45.75" customHeight="1">
      <c r="A283" s="565" t="s">
        <v>136</v>
      </c>
      <c r="B283" s="199">
        <f t="shared" si="30"/>
        <v>0</v>
      </c>
      <c r="C283" s="563"/>
      <c r="D283" s="346">
        <v>0</v>
      </c>
      <c r="E283" s="561">
        <v>0</v>
      </c>
      <c r="F283" s="561">
        <v>0</v>
      </c>
      <c r="G283" s="561">
        <v>0</v>
      </c>
      <c r="H283" s="346">
        <v>0</v>
      </c>
      <c r="I283" s="579">
        <v>0</v>
      </c>
      <c r="J283" s="564">
        <v>0</v>
      </c>
      <c r="M283" s="197"/>
      <c r="N283" s="197"/>
      <c r="O283" s="197"/>
    </row>
    <row r="284" spans="1:15" s="196" customFormat="1" ht="30" customHeight="1">
      <c r="A284" s="565" t="s">
        <v>535</v>
      </c>
      <c r="B284" s="199">
        <f t="shared" si="30"/>
        <v>0</v>
      </c>
      <c r="C284" s="563"/>
      <c r="D284" s="346">
        <v>0</v>
      </c>
      <c r="E284" s="561">
        <v>0</v>
      </c>
      <c r="F284" s="561">
        <v>0</v>
      </c>
      <c r="G284" s="561">
        <v>0</v>
      </c>
      <c r="H284" s="346">
        <v>0</v>
      </c>
      <c r="I284" s="579">
        <v>0</v>
      </c>
      <c r="J284" s="564">
        <v>0</v>
      </c>
      <c r="M284" s="197"/>
      <c r="N284" s="197"/>
      <c r="O284" s="197"/>
    </row>
    <row r="285" spans="1:15" s="216" customFormat="1" ht="20.25" customHeight="1">
      <c r="A285" s="426" t="s">
        <v>69</v>
      </c>
      <c r="B285" s="408">
        <f aca="true" t="shared" si="31" ref="B285:B290">ROUND(C285+D285+G285+H285*2.9+J285*$L$1+I285,0)</f>
        <v>866</v>
      </c>
      <c r="C285" s="446">
        <v>0</v>
      </c>
      <c r="D285" s="447">
        <v>246</v>
      </c>
      <c r="E285" s="497">
        <v>0</v>
      </c>
      <c r="F285" s="495">
        <v>0</v>
      </c>
      <c r="G285" s="418">
        <v>5</v>
      </c>
      <c r="H285" s="418">
        <v>212</v>
      </c>
      <c r="I285" s="446">
        <v>0</v>
      </c>
      <c r="J285" s="444">
        <v>0</v>
      </c>
      <c r="K285" s="215"/>
      <c r="L285" s="215"/>
      <c r="M285" s="215"/>
      <c r="N285" s="215"/>
      <c r="O285" s="215"/>
    </row>
    <row r="286" spans="1:15" s="216" customFormat="1" ht="20.25" customHeight="1">
      <c r="A286" s="426" t="s">
        <v>44</v>
      </c>
      <c r="B286" s="408">
        <f t="shared" si="31"/>
        <v>6802</v>
      </c>
      <c r="C286" s="446">
        <v>0</v>
      </c>
      <c r="D286" s="447">
        <v>1822</v>
      </c>
      <c r="E286" s="497">
        <v>0</v>
      </c>
      <c r="F286" s="495">
        <v>0</v>
      </c>
      <c r="G286" s="418">
        <v>430</v>
      </c>
      <c r="H286" s="418">
        <v>1569</v>
      </c>
      <c r="I286" s="446">
        <v>0</v>
      </c>
      <c r="J286" s="444">
        <v>0</v>
      </c>
      <c r="K286" s="215"/>
      <c r="L286" s="215"/>
      <c r="M286" s="215"/>
      <c r="N286" s="215"/>
      <c r="O286" s="215"/>
    </row>
    <row r="287" spans="1:15" s="216" customFormat="1" ht="20.25" customHeight="1">
      <c r="A287" s="427" t="s">
        <v>8</v>
      </c>
      <c r="B287" s="409">
        <f t="shared" si="31"/>
        <v>5705</v>
      </c>
      <c r="C287" s="446">
        <v>0</v>
      </c>
      <c r="D287" s="447">
        <v>1544</v>
      </c>
      <c r="E287" s="497">
        <v>0</v>
      </c>
      <c r="F287" s="495">
        <v>0</v>
      </c>
      <c r="G287" s="418">
        <v>307</v>
      </c>
      <c r="H287" s="418">
        <v>1329</v>
      </c>
      <c r="I287" s="446">
        <v>0</v>
      </c>
      <c r="J287" s="444">
        <v>0</v>
      </c>
      <c r="K287" s="215"/>
      <c r="L287" s="215"/>
      <c r="M287" s="215"/>
      <c r="N287" s="215"/>
      <c r="O287" s="215"/>
    </row>
    <row r="288" spans="1:15" s="216" customFormat="1" ht="20.25" customHeight="1">
      <c r="A288" s="420" t="s">
        <v>66</v>
      </c>
      <c r="B288" s="409">
        <f t="shared" si="31"/>
        <v>3111</v>
      </c>
      <c r="C288" s="446">
        <v>0</v>
      </c>
      <c r="D288" s="447">
        <v>846</v>
      </c>
      <c r="E288" s="497">
        <v>0</v>
      </c>
      <c r="F288" s="495">
        <v>0</v>
      </c>
      <c r="G288" s="418">
        <v>154</v>
      </c>
      <c r="H288" s="418">
        <v>728</v>
      </c>
      <c r="I288" s="446">
        <v>0</v>
      </c>
      <c r="J288" s="444">
        <v>0</v>
      </c>
      <c r="K288" s="215"/>
      <c r="L288" s="215"/>
      <c r="M288" s="215"/>
      <c r="N288" s="215"/>
      <c r="O288" s="215"/>
    </row>
    <row r="289" spans="1:15" s="216" customFormat="1" ht="20.25" customHeight="1">
      <c r="A289" s="426" t="s">
        <v>12</v>
      </c>
      <c r="B289" s="421">
        <f t="shared" si="31"/>
        <v>951</v>
      </c>
      <c r="C289" s="446">
        <v>0</v>
      </c>
      <c r="D289" s="447">
        <v>254</v>
      </c>
      <c r="E289" s="497">
        <v>0</v>
      </c>
      <c r="F289" s="495">
        <v>0</v>
      </c>
      <c r="G289" s="418">
        <v>65</v>
      </c>
      <c r="H289" s="418">
        <v>218</v>
      </c>
      <c r="I289" s="446">
        <v>0</v>
      </c>
      <c r="J289" s="444">
        <v>0</v>
      </c>
      <c r="K289" s="215"/>
      <c r="L289" s="215"/>
      <c r="M289" s="215"/>
      <c r="N289" s="215"/>
      <c r="O289" s="215"/>
    </row>
    <row r="290" spans="1:15" s="216" customFormat="1" ht="20.25" customHeight="1">
      <c r="A290" s="427" t="s">
        <v>435</v>
      </c>
      <c r="B290" s="396">
        <f t="shared" si="31"/>
        <v>6053</v>
      </c>
      <c r="C290" s="446">
        <v>0</v>
      </c>
      <c r="D290" s="447">
        <v>1593</v>
      </c>
      <c r="E290" s="497">
        <v>0</v>
      </c>
      <c r="F290" s="495">
        <v>0</v>
      </c>
      <c r="G290" s="418">
        <v>349</v>
      </c>
      <c r="H290" s="418">
        <v>1371</v>
      </c>
      <c r="I290" s="446">
        <v>0</v>
      </c>
      <c r="J290" s="443">
        <f>'1.2. Диспансерное наблюдение'!$D$19</f>
        <v>135</v>
      </c>
      <c r="K290" s="215"/>
      <c r="L290" s="215"/>
      <c r="M290" s="215"/>
      <c r="N290" s="215"/>
      <c r="O290" s="215"/>
    </row>
    <row r="291" spans="1:15" s="216" customFormat="1" ht="20.25" customHeight="1">
      <c r="A291" s="426" t="s">
        <v>65</v>
      </c>
      <c r="B291" s="421">
        <f>ROUND(C291+D291+G291+H291*2.9+J291*$L$1+I291*2.9,0)</f>
        <v>687</v>
      </c>
      <c r="C291" s="446">
        <v>0</v>
      </c>
      <c r="D291" s="519">
        <v>0</v>
      </c>
      <c r="E291" s="505">
        <v>0</v>
      </c>
      <c r="F291" s="507">
        <v>0</v>
      </c>
      <c r="G291" s="580">
        <v>0</v>
      </c>
      <c r="H291" s="581">
        <v>0</v>
      </c>
      <c r="I291" s="422">
        <v>237</v>
      </c>
      <c r="J291" s="419">
        <v>0</v>
      </c>
      <c r="K291" s="215"/>
      <c r="L291" s="215"/>
      <c r="M291" s="215"/>
      <c r="N291" s="215"/>
      <c r="O291" s="215"/>
    </row>
    <row r="292" spans="1:15" s="216" customFormat="1" ht="20.25" customHeight="1">
      <c r="A292" s="427" t="s">
        <v>60</v>
      </c>
      <c r="B292" s="399">
        <f>ROUND(C292+D292+G292+H292*2.9+J292*$L$1+I292,0)</f>
        <v>9684</v>
      </c>
      <c r="C292" s="446">
        <v>0</v>
      </c>
      <c r="D292" s="448">
        <v>2229</v>
      </c>
      <c r="E292" s="497">
        <v>0</v>
      </c>
      <c r="F292" s="495">
        <v>0</v>
      </c>
      <c r="G292" s="418">
        <v>460</v>
      </c>
      <c r="H292" s="418">
        <v>1908</v>
      </c>
      <c r="I292" s="579">
        <v>0</v>
      </c>
      <c r="J292" s="442">
        <f>'1.2. Диспансерное наблюдение'!$D$24</f>
        <v>1462</v>
      </c>
      <c r="K292" s="215"/>
      <c r="L292" s="215"/>
      <c r="M292" s="215"/>
      <c r="N292" s="215"/>
      <c r="O292" s="215"/>
    </row>
    <row r="293" spans="1:15" s="216" customFormat="1" ht="20.25" customHeight="1">
      <c r="A293" s="427" t="s">
        <v>3</v>
      </c>
      <c r="B293" s="396">
        <f>ROUND(C293+D293+G293+H293*2.9+J293*$L$1+I293,0)</f>
        <v>13226</v>
      </c>
      <c r="C293" s="446">
        <v>0</v>
      </c>
      <c r="D293" s="447">
        <v>3368</v>
      </c>
      <c r="E293" s="497">
        <v>0</v>
      </c>
      <c r="F293" s="495">
        <v>0</v>
      </c>
      <c r="G293" s="418">
        <v>913</v>
      </c>
      <c r="H293" s="418">
        <v>2892</v>
      </c>
      <c r="I293" s="579">
        <v>0</v>
      </c>
      <c r="J293" s="443">
        <f>'1.2. Диспансерное наблюдение'!$D$29</f>
        <v>558</v>
      </c>
      <c r="K293" s="215"/>
      <c r="L293" s="215"/>
      <c r="M293" s="215"/>
      <c r="N293" s="215"/>
      <c r="O293" s="215"/>
    </row>
    <row r="294" spans="1:15" s="216" customFormat="1" ht="20.25" customHeight="1">
      <c r="A294" s="424" t="s">
        <v>70</v>
      </c>
      <c r="B294" s="396">
        <f>ROUND(C294+D294+G294+H294*2.9+J294*$L$1+I294,0)</f>
        <v>12926</v>
      </c>
      <c r="C294" s="446">
        <v>0</v>
      </c>
      <c r="D294" s="417">
        <v>3440</v>
      </c>
      <c r="E294" s="489">
        <v>0</v>
      </c>
      <c r="F294" s="495">
        <v>0</v>
      </c>
      <c r="G294" s="418">
        <v>751</v>
      </c>
      <c r="H294" s="418">
        <v>2960</v>
      </c>
      <c r="I294" s="579">
        <v>0</v>
      </c>
      <c r="J294" s="443">
        <f>'1.2. Диспансерное наблюдение'!$D$39</f>
        <v>151</v>
      </c>
      <c r="K294" s="215"/>
      <c r="L294" s="215"/>
      <c r="M294" s="215"/>
      <c r="N294" s="215"/>
      <c r="O294" s="215"/>
    </row>
    <row r="295" spans="1:15" s="216" customFormat="1" ht="20.25" customHeight="1">
      <c r="A295" s="426" t="s">
        <v>2</v>
      </c>
      <c r="B295" s="396">
        <f>ROUND(C295+D295+G295+H295*2.9+J295*$L$1+I295,0)</f>
        <v>15733</v>
      </c>
      <c r="C295" s="446">
        <v>0</v>
      </c>
      <c r="D295" s="421">
        <v>4189</v>
      </c>
      <c r="E295" s="489">
        <v>0</v>
      </c>
      <c r="F295" s="495">
        <v>0</v>
      </c>
      <c r="G295" s="418">
        <v>796</v>
      </c>
      <c r="H295" s="418">
        <v>3604</v>
      </c>
      <c r="I295" s="579">
        <v>0</v>
      </c>
      <c r="J295" s="443">
        <f>'1.2. Диспансерное наблюдение'!$D$44</f>
        <v>296</v>
      </c>
      <c r="K295" s="215"/>
      <c r="L295" s="215"/>
      <c r="M295" s="215"/>
      <c r="N295" s="215"/>
      <c r="O295" s="215"/>
    </row>
    <row r="296" spans="1:10" s="216" customFormat="1" ht="20.25" customHeight="1">
      <c r="A296" s="426" t="s">
        <v>9</v>
      </c>
      <c r="B296" s="408">
        <f>ROUND(C296+D296+G296+H296*2.9+J296*$L$1+I296,0)</f>
        <v>0</v>
      </c>
      <c r="C296" s="446">
        <v>0</v>
      </c>
      <c r="D296" s="446">
        <v>0</v>
      </c>
      <c r="E296" s="506">
        <v>0</v>
      </c>
      <c r="F296" s="498">
        <v>0</v>
      </c>
      <c r="G296" s="446">
        <v>0</v>
      </c>
      <c r="H296" s="446">
        <v>0</v>
      </c>
      <c r="I296" s="579">
        <v>0</v>
      </c>
      <c r="J296" s="444">
        <v>0</v>
      </c>
    </row>
    <row r="297" spans="1:10" s="216" customFormat="1" ht="30" customHeight="1">
      <c r="A297" s="428" t="s">
        <v>556</v>
      </c>
      <c r="B297" s="421">
        <f>B298+B299</f>
        <v>108243</v>
      </c>
      <c r="C297" s="446">
        <v>0</v>
      </c>
      <c r="D297" s="421">
        <f>D298+D299</f>
        <v>15347</v>
      </c>
      <c r="E297" s="490">
        <f>E298+E299</f>
        <v>1636</v>
      </c>
      <c r="F297" s="499">
        <v>0</v>
      </c>
      <c r="G297" s="421">
        <f>G298+G299</f>
        <v>9771</v>
      </c>
      <c r="H297" s="421">
        <f>H298+H299</f>
        <v>28664</v>
      </c>
      <c r="I297" s="579">
        <v>0</v>
      </c>
      <c r="J297" s="444">
        <v>0</v>
      </c>
    </row>
    <row r="298" spans="1:10" ht="20.25" customHeight="1">
      <c r="A298" s="410" t="s">
        <v>203</v>
      </c>
      <c r="B298" s="364">
        <f>ROUND(C298+D298+G298+H298*2.9+J298*$L$1+I298,0)</f>
        <v>75733</v>
      </c>
      <c r="C298" s="446">
        <v>0</v>
      </c>
      <c r="D298" s="364">
        <v>6931</v>
      </c>
      <c r="E298" s="411">
        <v>491</v>
      </c>
      <c r="F298" s="496">
        <v>0</v>
      </c>
      <c r="G298" s="364">
        <v>6661</v>
      </c>
      <c r="H298" s="581">
        <v>21428</v>
      </c>
      <c r="I298" s="579">
        <v>0</v>
      </c>
      <c r="J298" s="445">
        <v>0</v>
      </c>
    </row>
    <row r="299" spans="1:10" ht="20.25" customHeight="1">
      <c r="A299" s="410" t="s">
        <v>204</v>
      </c>
      <c r="B299" s="364">
        <f>ROUND(C299+D299+G299+H299*2.9+J299*$L$1+I299,0)</f>
        <v>32510</v>
      </c>
      <c r="C299" s="446">
        <v>0</v>
      </c>
      <c r="D299" s="364">
        <v>8416</v>
      </c>
      <c r="E299" s="411">
        <v>1145</v>
      </c>
      <c r="F299" s="496">
        <v>0</v>
      </c>
      <c r="G299" s="364">
        <v>3110</v>
      </c>
      <c r="H299" s="581">
        <v>7236</v>
      </c>
      <c r="I299" s="579">
        <v>0</v>
      </c>
      <c r="J299" s="398">
        <v>0</v>
      </c>
    </row>
    <row r="300" spans="1:11" s="216" customFormat="1" ht="78" customHeight="1">
      <c r="A300" s="420" t="s">
        <v>557</v>
      </c>
      <c r="B300" s="421">
        <f>ROUND(C300+D300+G300+H300*2.9+J300*$L$1+I300,0)</f>
        <v>20137</v>
      </c>
      <c r="C300" s="510">
        <f>C301</f>
        <v>20137</v>
      </c>
      <c r="D300" s="446">
        <v>0</v>
      </c>
      <c r="E300" s="446">
        <v>0</v>
      </c>
      <c r="F300" s="440">
        <f>F301</f>
        <v>0</v>
      </c>
      <c r="G300" s="446">
        <v>0</v>
      </c>
      <c r="H300" s="446">
        <v>0</v>
      </c>
      <c r="I300" s="579">
        <v>0</v>
      </c>
      <c r="J300" s="419">
        <v>0</v>
      </c>
      <c r="K300" s="478"/>
    </row>
    <row r="301" spans="1:15" s="196" customFormat="1" ht="42.75" customHeight="1">
      <c r="A301" s="562" t="s">
        <v>566</v>
      </c>
      <c r="B301" s="199">
        <f>B302+B305+B306+B307+B308</f>
        <v>20137</v>
      </c>
      <c r="C301" s="563">
        <f>C302+C305</f>
        <v>20137</v>
      </c>
      <c r="D301" s="346">
        <v>0</v>
      </c>
      <c r="E301" s="561">
        <v>0</v>
      </c>
      <c r="F301" s="571">
        <f>F302</f>
        <v>0</v>
      </c>
      <c r="G301" s="561">
        <v>0</v>
      </c>
      <c r="H301" s="346">
        <v>0</v>
      </c>
      <c r="I301" s="579">
        <v>0</v>
      </c>
      <c r="J301" s="564">
        <v>0</v>
      </c>
      <c r="M301" s="197"/>
      <c r="N301" s="197"/>
      <c r="O301" s="197"/>
    </row>
    <row r="302" spans="1:15" s="196" customFormat="1" ht="50.25" customHeight="1">
      <c r="A302" s="565" t="s">
        <v>560</v>
      </c>
      <c r="B302" s="199">
        <f aca="true" t="shared" si="32" ref="B302:B308">ROUND(C302+D302+G302+H302*2.9+J302*$L$1+I302,0)</f>
        <v>14985</v>
      </c>
      <c r="C302" s="563">
        <v>14985</v>
      </c>
      <c r="D302" s="346">
        <v>0</v>
      </c>
      <c r="E302" s="561">
        <v>0</v>
      </c>
      <c r="F302" s="571">
        <v>0</v>
      </c>
      <c r="G302" s="561">
        <v>0</v>
      </c>
      <c r="H302" s="346">
        <v>0</v>
      </c>
      <c r="I302" s="579">
        <v>0</v>
      </c>
      <c r="J302" s="564">
        <v>0</v>
      </c>
      <c r="M302" s="197"/>
      <c r="N302" s="197"/>
      <c r="O302" s="197"/>
    </row>
    <row r="303" spans="1:15" s="196" customFormat="1" ht="33" customHeight="1">
      <c r="A303" s="565" t="s">
        <v>519</v>
      </c>
      <c r="B303" s="199">
        <f t="shared" si="32"/>
        <v>0</v>
      </c>
      <c r="C303" s="563">
        <v>0</v>
      </c>
      <c r="D303" s="346">
        <v>0</v>
      </c>
      <c r="E303" s="561">
        <v>0</v>
      </c>
      <c r="F303" s="571">
        <v>0</v>
      </c>
      <c r="G303" s="561">
        <v>0</v>
      </c>
      <c r="H303" s="346">
        <v>0</v>
      </c>
      <c r="I303" s="579">
        <v>0</v>
      </c>
      <c r="J303" s="564">
        <v>0</v>
      </c>
      <c r="M303" s="197"/>
      <c r="N303" s="197"/>
      <c r="O303" s="197"/>
    </row>
    <row r="304" spans="1:15" s="196" customFormat="1" ht="24" customHeight="1">
      <c r="A304" s="565" t="s">
        <v>520</v>
      </c>
      <c r="B304" s="199">
        <f t="shared" si="32"/>
        <v>0</v>
      </c>
      <c r="C304" s="563">
        <v>0</v>
      </c>
      <c r="D304" s="346">
        <v>0</v>
      </c>
      <c r="E304" s="561">
        <v>0</v>
      </c>
      <c r="F304" s="571">
        <v>0</v>
      </c>
      <c r="G304" s="561">
        <v>0</v>
      </c>
      <c r="H304" s="346">
        <v>0</v>
      </c>
      <c r="I304" s="579">
        <v>0</v>
      </c>
      <c r="J304" s="564"/>
      <c r="M304" s="197"/>
      <c r="N304" s="197"/>
      <c r="O304" s="197"/>
    </row>
    <row r="305" spans="1:15" s="196" customFormat="1" ht="30" customHeight="1">
      <c r="A305" s="565" t="s">
        <v>521</v>
      </c>
      <c r="B305" s="199">
        <f t="shared" si="32"/>
        <v>5152</v>
      </c>
      <c r="C305" s="563">
        <v>5152</v>
      </c>
      <c r="D305" s="346">
        <v>0</v>
      </c>
      <c r="E305" s="561">
        <v>0</v>
      </c>
      <c r="F305" s="561">
        <v>0</v>
      </c>
      <c r="G305" s="561">
        <v>0</v>
      </c>
      <c r="H305" s="346">
        <v>0</v>
      </c>
      <c r="I305" s="579">
        <v>0</v>
      </c>
      <c r="J305" s="564">
        <v>0</v>
      </c>
      <c r="M305" s="197"/>
      <c r="N305" s="197"/>
      <c r="O305" s="197"/>
    </row>
    <row r="306" spans="1:15" s="196" customFormat="1" ht="30" customHeight="1">
      <c r="A306" s="566" t="s">
        <v>135</v>
      </c>
      <c r="B306" s="199">
        <f t="shared" si="32"/>
        <v>0</v>
      </c>
      <c r="C306" s="563">
        <f>'1.1. ПРОФ.МЕРОПРИЯТИЯ (КП)'!J3</f>
        <v>0</v>
      </c>
      <c r="D306" s="346">
        <v>0</v>
      </c>
      <c r="E306" s="561">
        <v>0</v>
      </c>
      <c r="F306" s="561">
        <v>0</v>
      </c>
      <c r="G306" s="561">
        <v>0</v>
      </c>
      <c r="H306" s="346">
        <v>0</v>
      </c>
      <c r="I306" s="579">
        <v>0</v>
      </c>
      <c r="J306" s="564">
        <v>0</v>
      </c>
      <c r="M306" s="197"/>
      <c r="N306" s="197"/>
      <c r="O306" s="197"/>
    </row>
    <row r="307" spans="1:15" s="196" customFormat="1" ht="45.75" customHeight="1">
      <c r="A307" s="565" t="s">
        <v>136</v>
      </c>
      <c r="B307" s="199">
        <f t="shared" si="32"/>
        <v>0</v>
      </c>
      <c r="C307" s="563">
        <f>'1.1. ПРОФ.МЕРОПРИЯТИЯ (КП)'!J4</f>
        <v>0</v>
      </c>
      <c r="D307" s="346">
        <v>0</v>
      </c>
      <c r="E307" s="561">
        <v>0</v>
      </c>
      <c r="F307" s="561">
        <v>0</v>
      </c>
      <c r="G307" s="561">
        <v>0</v>
      </c>
      <c r="H307" s="346">
        <v>0</v>
      </c>
      <c r="I307" s="579">
        <v>0</v>
      </c>
      <c r="J307" s="564">
        <v>0</v>
      </c>
      <c r="M307" s="197"/>
      <c r="N307" s="197"/>
      <c r="O307" s="197"/>
    </row>
    <row r="308" spans="1:15" s="196" customFormat="1" ht="30" customHeight="1">
      <c r="A308" s="565" t="s">
        <v>535</v>
      </c>
      <c r="B308" s="199">
        <f t="shared" si="32"/>
        <v>0</v>
      </c>
      <c r="C308" s="563">
        <f>'1.1. ПРОФ.МЕРОПРИЯТИЯ (КП)'!J5</f>
        <v>0</v>
      </c>
      <c r="D308" s="346">
        <v>0</v>
      </c>
      <c r="E308" s="561">
        <v>0</v>
      </c>
      <c r="F308" s="561">
        <v>0</v>
      </c>
      <c r="G308" s="561">
        <v>0</v>
      </c>
      <c r="H308" s="346">
        <v>0</v>
      </c>
      <c r="I308" s="579">
        <v>0</v>
      </c>
      <c r="J308" s="564">
        <v>0</v>
      </c>
      <c r="M308" s="197"/>
      <c r="N308" s="197"/>
      <c r="O308" s="197"/>
    </row>
    <row r="309" spans="1:15" s="216" customFormat="1" ht="26.25" customHeight="1">
      <c r="A309" s="433" t="s">
        <v>343</v>
      </c>
      <c r="B309" s="409">
        <f>ROUND(C309+D309+G309+H309*2.9+J309*$L$1+I309,0)</f>
        <v>163722</v>
      </c>
      <c r="C309" s="421">
        <f>C310</f>
        <v>46381</v>
      </c>
      <c r="D309" s="421">
        <v>20978</v>
      </c>
      <c r="E309" s="489">
        <v>0</v>
      </c>
      <c r="F309" s="495">
        <v>0</v>
      </c>
      <c r="G309" s="418">
        <v>13120</v>
      </c>
      <c r="H309" s="418">
        <v>24901</v>
      </c>
      <c r="I309" s="580">
        <v>0</v>
      </c>
      <c r="J309" s="423">
        <f>'1.2. Диспансерное наблюдение'!$D$49</f>
        <v>11030</v>
      </c>
      <c r="K309" s="215"/>
      <c r="L309" s="215"/>
      <c r="M309" s="215"/>
      <c r="N309" s="215"/>
      <c r="O309" s="215"/>
    </row>
    <row r="310" spans="1:15" s="196" customFormat="1" ht="47.25" customHeight="1">
      <c r="A310" s="562" t="s">
        <v>566</v>
      </c>
      <c r="B310" s="199">
        <f>B311+B314+B315+B316+B317</f>
        <v>46381</v>
      </c>
      <c r="C310" s="563">
        <f>C311+C314</f>
        <v>46381</v>
      </c>
      <c r="D310" s="346">
        <v>0</v>
      </c>
      <c r="E310" s="579">
        <v>0</v>
      </c>
      <c r="F310" s="579">
        <v>0</v>
      </c>
      <c r="G310" s="579">
        <v>0</v>
      </c>
      <c r="H310" s="346">
        <v>0</v>
      </c>
      <c r="I310" s="579">
        <v>0</v>
      </c>
      <c r="J310" s="582">
        <v>0</v>
      </c>
      <c r="K310" s="173"/>
      <c r="M310" s="197"/>
      <c r="N310" s="197"/>
      <c r="O310" s="197"/>
    </row>
    <row r="311" spans="1:15" s="196" customFormat="1" ht="45.75" customHeight="1">
      <c r="A311" s="565" t="s">
        <v>560</v>
      </c>
      <c r="B311" s="199">
        <f aca="true" t="shared" si="33" ref="B311:B317">ROUND(C311+D311+G311+H311*2.9+J311*$L$1+I311,0)</f>
        <v>35555</v>
      </c>
      <c r="C311" s="563">
        <f>'1.1. ПРОФ.МЕРОПРИЯТИЯ (КП)'!E11</f>
        <v>35555</v>
      </c>
      <c r="D311" s="346">
        <v>0</v>
      </c>
      <c r="E311" s="579">
        <v>0</v>
      </c>
      <c r="F311" s="579">
        <v>0</v>
      </c>
      <c r="G311" s="579">
        <v>0</v>
      </c>
      <c r="H311" s="346">
        <v>0</v>
      </c>
      <c r="I311" s="579">
        <v>0</v>
      </c>
      <c r="J311" s="582">
        <v>0</v>
      </c>
      <c r="K311" s="173"/>
      <c r="M311" s="197"/>
      <c r="N311" s="197"/>
      <c r="O311" s="197"/>
    </row>
    <row r="312" spans="1:15" s="196" customFormat="1" ht="30" customHeight="1">
      <c r="A312" s="565" t="s">
        <v>519</v>
      </c>
      <c r="B312" s="199">
        <f t="shared" si="33"/>
        <v>4694</v>
      </c>
      <c r="C312" s="563">
        <f>'1.1. ПРОФ.МЕРОПРИЯТИЯ (КП)'!F11</f>
        <v>4694</v>
      </c>
      <c r="D312" s="346">
        <v>0</v>
      </c>
      <c r="E312" s="579">
        <v>0</v>
      </c>
      <c r="F312" s="579">
        <v>0</v>
      </c>
      <c r="G312" s="579">
        <v>0</v>
      </c>
      <c r="H312" s="346">
        <v>0</v>
      </c>
      <c r="I312" s="579">
        <v>0</v>
      </c>
      <c r="J312" s="582">
        <v>0</v>
      </c>
      <c r="K312" s="173"/>
      <c r="M312" s="197"/>
      <c r="N312" s="197"/>
      <c r="O312" s="197"/>
    </row>
    <row r="313" spans="1:15" s="196" customFormat="1" ht="19.5" customHeight="1">
      <c r="A313" s="565" t="s">
        <v>561</v>
      </c>
      <c r="B313" s="199">
        <f t="shared" si="33"/>
        <v>0</v>
      </c>
      <c r="C313" s="563">
        <v>0</v>
      </c>
      <c r="D313" s="346">
        <v>0</v>
      </c>
      <c r="E313" s="579">
        <v>0</v>
      </c>
      <c r="F313" s="579">
        <v>0</v>
      </c>
      <c r="G313" s="579">
        <v>0</v>
      </c>
      <c r="H313" s="346">
        <v>0</v>
      </c>
      <c r="I313" s="579">
        <v>0</v>
      </c>
      <c r="J313" s="582">
        <v>0</v>
      </c>
      <c r="K313" s="173"/>
      <c r="M313" s="197"/>
      <c r="N313" s="197"/>
      <c r="O313" s="197"/>
    </row>
    <row r="314" spans="1:15" s="196" customFormat="1" ht="30" customHeight="1">
      <c r="A314" s="565" t="s">
        <v>521</v>
      </c>
      <c r="B314" s="199">
        <f t="shared" si="33"/>
        <v>10826</v>
      </c>
      <c r="C314" s="563">
        <f>'1.1. ПРОФ.МЕРОПРИЯТИЯ (КП)'!J11</f>
        <v>10826</v>
      </c>
      <c r="D314" s="346">
        <v>0</v>
      </c>
      <c r="E314" s="579">
        <v>0</v>
      </c>
      <c r="F314" s="579">
        <v>0</v>
      </c>
      <c r="G314" s="579">
        <v>0</v>
      </c>
      <c r="H314" s="346">
        <v>0</v>
      </c>
      <c r="I314" s="579">
        <v>0</v>
      </c>
      <c r="J314" s="582">
        <v>0</v>
      </c>
      <c r="K314" s="173"/>
      <c r="M314" s="197"/>
      <c r="N314" s="197"/>
      <c r="O314" s="197"/>
    </row>
    <row r="315" spans="1:15" s="196" customFormat="1" ht="30" customHeight="1">
      <c r="A315" s="566" t="s">
        <v>135</v>
      </c>
      <c r="B315" s="199">
        <f t="shared" si="33"/>
        <v>0</v>
      </c>
      <c r="C315" s="579">
        <v>0</v>
      </c>
      <c r="D315" s="346">
        <v>0</v>
      </c>
      <c r="E315" s="579">
        <v>0</v>
      </c>
      <c r="F315" s="579">
        <v>0</v>
      </c>
      <c r="G315" s="579">
        <v>0</v>
      </c>
      <c r="H315" s="346">
        <v>0</v>
      </c>
      <c r="I315" s="579">
        <v>0</v>
      </c>
      <c r="J315" s="582">
        <v>0</v>
      </c>
      <c r="K315" s="173"/>
      <c r="M315" s="197"/>
      <c r="N315" s="197"/>
      <c r="O315" s="197"/>
    </row>
    <row r="316" spans="1:15" s="196" customFormat="1" ht="42" customHeight="1">
      <c r="A316" s="565" t="s">
        <v>136</v>
      </c>
      <c r="B316" s="199">
        <f t="shared" si="33"/>
        <v>0</v>
      </c>
      <c r="C316" s="579">
        <v>0</v>
      </c>
      <c r="D316" s="346">
        <v>0</v>
      </c>
      <c r="E316" s="579">
        <v>0</v>
      </c>
      <c r="F316" s="579">
        <v>0</v>
      </c>
      <c r="G316" s="579">
        <v>0</v>
      </c>
      <c r="H316" s="346">
        <v>0</v>
      </c>
      <c r="I316" s="579">
        <v>0</v>
      </c>
      <c r="J316" s="582">
        <v>0</v>
      </c>
      <c r="K316" s="173"/>
      <c r="M316" s="197"/>
      <c r="N316" s="197"/>
      <c r="O316" s="197"/>
    </row>
    <row r="317" spans="1:15" s="196" customFormat="1" ht="30" customHeight="1">
      <c r="A317" s="565" t="s">
        <v>535</v>
      </c>
      <c r="B317" s="199">
        <f t="shared" si="33"/>
        <v>0</v>
      </c>
      <c r="C317" s="579">
        <v>0</v>
      </c>
      <c r="D317" s="346">
        <v>0</v>
      </c>
      <c r="E317" s="579">
        <v>0</v>
      </c>
      <c r="F317" s="579">
        <v>0</v>
      </c>
      <c r="G317" s="579">
        <v>0</v>
      </c>
      <c r="H317" s="346">
        <v>0</v>
      </c>
      <c r="I317" s="579">
        <v>0</v>
      </c>
      <c r="J317" s="582">
        <v>0</v>
      </c>
      <c r="K317" s="173"/>
      <c r="M317" s="197"/>
      <c r="N317" s="197"/>
      <c r="O317" s="197"/>
    </row>
    <row r="318" spans="1:15" s="449" customFormat="1" ht="18" customHeight="1">
      <c r="A318" s="427" t="s">
        <v>382</v>
      </c>
      <c r="B318" s="396">
        <f aca="true" t="shared" si="34" ref="B318:B323">ROUND(C318+D318+G318+H318*2.9+J318*$L$1+I318,0)</f>
        <v>29394</v>
      </c>
      <c r="C318" s="580">
        <v>0</v>
      </c>
      <c r="D318" s="421">
        <v>7581</v>
      </c>
      <c r="E318" s="489">
        <v>0</v>
      </c>
      <c r="F318" s="495">
        <v>0</v>
      </c>
      <c r="G318" s="418">
        <v>1773</v>
      </c>
      <c r="H318" s="418">
        <v>6887</v>
      </c>
      <c r="I318" s="418"/>
      <c r="J318" s="423">
        <f>'1.2. Диспансерное наблюдение'!$D$54</f>
        <v>68</v>
      </c>
      <c r="K318" s="216"/>
      <c r="M318" s="450"/>
      <c r="N318" s="450"/>
      <c r="O318" s="450"/>
    </row>
    <row r="319" spans="1:15" s="449" customFormat="1" ht="18" customHeight="1">
      <c r="A319" s="427" t="s">
        <v>1</v>
      </c>
      <c r="B319" s="396">
        <f t="shared" si="34"/>
        <v>7953</v>
      </c>
      <c r="C319" s="583">
        <f>C320</f>
        <v>1733</v>
      </c>
      <c r="D319" s="421">
        <v>1372</v>
      </c>
      <c r="E319" s="489">
        <v>0</v>
      </c>
      <c r="F319" s="495">
        <f>F320</f>
        <v>0</v>
      </c>
      <c r="G319" s="418">
        <v>671</v>
      </c>
      <c r="H319" s="418">
        <v>1416</v>
      </c>
      <c r="I319" s="418"/>
      <c r="J319" s="423">
        <f>'1.2. Диспансерное наблюдение'!$D$59</f>
        <v>71</v>
      </c>
      <c r="K319" s="216"/>
      <c r="M319" s="450"/>
      <c r="N319" s="450"/>
      <c r="O319" s="450"/>
    </row>
    <row r="320" spans="1:15" s="196" customFormat="1" ht="48" customHeight="1">
      <c r="A320" s="562" t="s">
        <v>566</v>
      </c>
      <c r="B320" s="195">
        <f t="shared" si="34"/>
        <v>1733</v>
      </c>
      <c r="C320" s="563">
        <f>C321+C324</f>
        <v>1733</v>
      </c>
      <c r="D320" s="346">
        <v>0</v>
      </c>
      <c r="E320" s="579">
        <v>0</v>
      </c>
      <c r="F320" s="571">
        <f>F321+F324</f>
        <v>0</v>
      </c>
      <c r="G320" s="579">
        <v>0</v>
      </c>
      <c r="H320" s="346">
        <v>0</v>
      </c>
      <c r="I320" s="579">
        <v>0</v>
      </c>
      <c r="J320" s="582">
        <v>0</v>
      </c>
      <c r="K320" s="173"/>
      <c r="M320" s="197"/>
      <c r="N320" s="197"/>
      <c r="O320" s="197"/>
    </row>
    <row r="321" spans="1:15" s="196" customFormat="1" ht="52.5" customHeight="1">
      <c r="A321" s="565" t="s">
        <v>560</v>
      </c>
      <c r="B321" s="195">
        <f t="shared" si="34"/>
        <v>1733</v>
      </c>
      <c r="C321" s="563">
        <f>C323</f>
        <v>1733</v>
      </c>
      <c r="D321" s="346">
        <v>0</v>
      </c>
      <c r="E321" s="579">
        <v>0</v>
      </c>
      <c r="F321" s="571">
        <f>F323</f>
        <v>0</v>
      </c>
      <c r="G321" s="579">
        <v>0</v>
      </c>
      <c r="H321" s="346">
        <v>0</v>
      </c>
      <c r="I321" s="579">
        <v>0</v>
      </c>
      <c r="J321" s="582">
        <v>0</v>
      </c>
      <c r="K321" s="173"/>
      <c r="M321" s="197"/>
      <c r="N321" s="197"/>
      <c r="O321" s="197"/>
    </row>
    <row r="322" spans="1:15" s="196" customFormat="1" ht="28.5" customHeight="1">
      <c r="A322" s="565" t="s">
        <v>519</v>
      </c>
      <c r="B322" s="195">
        <f t="shared" si="34"/>
        <v>0</v>
      </c>
      <c r="C322" s="563">
        <v>0</v>
      </c>
      <c r="D322" s="346">
        <v>0</v>
      </c>
      <c r="E322" s="579">
        <v>0</v>
      </c>
      <c r="F322" s="571">
        <v>0</v>
      </c>
      <c r="G322" s="579">
        <v>0</v>
      </c>
      <c r="H322" s="346">
        <v>0</v>
      </c>
      <c r="I322" s="579">
        <v>0</v>
      </c>
      <c r="J322" s="582">
        <v>0</v>
      </c>
      <c r="K322" s="173"/>
      <c r="M322" s="197"/>
      <c r="N322" s="197"/>
      <c r="O322" s="197"/>
    </row>
    <row r="323" spans="1:15" s="196" customFormat="1" ht="19.5" customHeight="1">
      <c r="A323" s="565" t="s">
        <v>561</v>
      </c>
      <c r="B323" s="195">
        <f t="shared" si="34"/>
        <v>1733</v>
      </c>
      <c r="C323" s="563">
        <v>1733</v>
      </c>
      <c r="D323" s="346">
        <v>0</v>
      </c>
      <c r="E323" s="579">
        <v>0</v>
      </c>
      <c r="F323" s="571">
        <v>0</v>
      </c>
      <c r="G323" s="579">
        <v>0</v>
      </c>
      <c r="H323" s="346">
        <v>0</v>
      </c>
      <c r="I323" s="579">
        <v>0</v>
      </c>
      <c r="J323" s="582">
        <v>0</v>
      </c>
      <c r="K323" s="173"/>
      <c r="M323" s="197"/>
      <c r="N323" s="197"/>
      <c r="O323" s="197"/>
    </row>
    <row r="324" spans="1:15" s="196" customFormat="1" ht="30" customHeight="1">
      <c r="A324" s="565" t="s">
        <v>521</v>
      </c>
      <c r="B324" s="584">
        <v>0</v>
      </c>
      <c r="C324" s="579">
        <v>0</v>
      </c>
      <c r="D324" s="346">
        <v>0</v>
      </c>
      <c r="E324" s="579">
        <v>0</v>
      </c>
      <c r="F324" s="571">
        <v>0</v>
      </c>
      <c r="G324" s="579">
        <v>0</v>
      </c>
      <c r="H324" s="346">
        <v>0</v>
      </c>
      <c r="I324" s="579">
        <v>0</v>
      </c>
      <c r="J324" s="582">
        <v>0</v>
      </c>
      <c r="K324" s="173"/>
      <c r="M324" s="197"/>
      <c r="N324" s="197"/>
      <c r="O324" s="197"/>
    </row>
    <row r="325" spans="1:15" s="196" customFormat="1" ht="30" customHeight="1">
      <c r="A325" s="566" t="s">
        <v>135</v>
      </c>
      <c r="B325" s="584">
        <v>0</v>
      </c>
      <c r="C325" s="579">
        <v>0</v>
      </c>
      <c r="D325" s="346">
        <v>0</v>
      </c>
      <c r="E325" s="579">
        <v>0</v>
      </c>
      <c r="F325" s="579">
        <v>0</v>
      </c>
      <c r="G325" s="579">
        <v>0</v>
      </c>
      <c r="H325" s="346">
        <v>0</v>
      </c>
      <c r="I325" s="579">
        <v>0</v>
      </c>
      <c r="J325" s="582">
        <v>0</v>
      </c>
      <c r="K325" s="173"/>
      <c r="M325" s="197"/>
      <c r="N325" s="197"/>
      <c r="O325" s="197"/>
    </row>
    <row r="326" spans="1:15" s="196" customFormat="1" ht="42" customHeight="1">
      <c r="A326" s="565" t="s">
        <v>136</v>
      </c>
      <c r="B326" s="584">
        <v>0</v>
      </c>
      <c r="C326" s="579">
        <v>0</v>
      </c>
      <c r="D326" s="346">
        <v>0</v>
      </c>
      <c r="E326" s="579">
        <v>0</v>
      </c>
      <c r="F326" s="579">
        <v>0</v>
      </c>
      <c r="G326" s="579">
        <v>0</v>
      </c>
      <c r="H326" s="346">
        <v>0</v>
      </c>
      <c r="I326" s="579">
        <v>0</v>
      </c>
      <c r="J326" s="582">
        <v>0</v>
      </c>
      <c r="K326" s="173"/>
      <c r="M326" s="197"/>
      <c r="N326" s="197"/>
      <c r="O326" s="197"/>
    </row>
    <row r="327" spans="1:15" s="196" customFormat="1" ht="30" customHeight="1">
      <c r="A327" s="565" t="s">
        <v>535</v>
      </c>
      <c r="B327" s="584">
        <v>0</v>
      </c>
      <c r="C327" s="579">
        <v>0</v>
      </c>
      <c r="D327" s="346">
        <v>0</v>
      </c>
      <c r="E327" s="579">
        <v>0</v>
      </c>
      <c r="F327" s="579">
        <v>0</v>
      </c>
      <c r="G327" s="579">
        <v>0</v>
      </c>
      <c r="H327" s="346">
        <v>0</v>
      </c>
      <c r="I327" s="579">
        <v>0</v>
      </c>
      <c r="J327" s="582">
        <v>0</v>
      </c>
      <c r="K327" s="173"/>
      <c r="M327" s="197"/>
      <c r="N327" s="197"/>
      <c r="O327" s="197"/>
    </row>
    <row r="328" spans="1:15" s="449" customFormat="1" ht="18" customHeight="1">
      <c r="A328" s="427" t="s">
        <v>31</v>
      </c>
      <c r="B328" s="396">
        <f>ROUND(C328+D328+G328+H328*2.9+J328*$L$1+I328,0)</f>
        <v>10290</v>
      </c>
      <c r="C328" s="580">
        <v>0</v>
      </c>
      <c r="D328" s="421">
        <v>2630</v>
      </c>
      <c r="E328" s="489">
        <v>0</v>
      </c>
      <c r="F328" s="489">
        <v>0</v>
      </c>
      <c r="G328" s="418">
        <v>938</v>
      </c>
      <c r="H328" s="418">
        <v>2260</v>
      </c>
      <c r="I328" s="418"/>
      <c r="J328" s="423">
        <f>'1.2. Диспансерное наблюдение'!$D$64</f>
        <v>168</v>
      </c>
      <c r="K328" s="216"/>
      <c r="M328" s="450"/>
      <c r="N328" s="450"/>
      <c r="O328" s="450"/>
    </row>
    <row r="329" spans="1:10" s="216" customFormat="1" ht="18" customHeight="1">
      <c r="A329" s="420" t="s">
        <v>227</v>
      </c>
      <c r="B329" s="408">
        <f>ROUND(C329+D329+G329+H329*2.9+J329*$L$1+I329,0)</f>
        <v>1211</v>
      </c>
      <c r="C329" s="580">
        <v>0</v>
      </c>
      <c r="D329" s="421">
        <v>329</v>
      </c>
      <c r="E329" s="489">
        <v>0</v>
      </c>
      <c r="F329" s="489">
        <v>0</v>
      </c>
      <c r="G329" s="418">
        <v>58</v>
      </c>
      <c r="H329" s="418">
        <v>284</v>
      </c>
      <c r="I329" s="418"/>
      <c r="J329" s="419">
        <v>0</v>
      </c>
    </row>
    <row r="330" spans="1:10" s="216" customFormat="1" ht="27" customHeight="1">
      <c r="A330" s="420" t="s">
        <v>555</v>
      </c>
      <c r="B330" s="396">
        <f>ROUND(C330+D330+G330+H330*2.9+J330*$L$1+I330,0)</f>
        <v>12449</v>
      </c>
      <c r="C330" s="580">
        <v>0</v>
      </c>
      <c r="D330" s="421">
        <v>2397</v>
      </c>
      <c r="E330" s="489">
        <v>0</v>
      </c>
      <c r="F330" s="489">
        <v>0</v>
      </c>
      <c r="G330" s="418">
        <v>711</v>
      </c>
      <c r="H330" s="418">
        <v>1812</v>
      </c>
      <c r="I330" s="418"/>
      <c r="J330" s="423">
        <f>'1.2. Диспансерное наблюдение'!$D$69</f>
        <v>4086</v>
      </c>
    </row>
    <row r="331" spans="1:10" ht="27.75" customHeight="1">
      <c r="A331" s="585" t="s">
        <v>438</v>
      </c>
      <c r="B331" s="199">
        <f>ROUND(C331+D331*5+G331+H331*2.9+J331*$L$1+I331,0)</f>
        <v>250</v>
      </c>
      <c r="C331" s="580">
        <v>0</v>
      </c>
      <c r="D331" s="218">
        <v>50</v>
      </c>
      <c r="E331" s="579">
        <v>0</v>
      </c>
      <c r="F331" s="579">
        <v>0</v>
      </c>
      <c r="G331" s="579">
        <v>0</v>
      </c>
      <c r="H331" s="346">
        <v>0</v>
      </c>
      <c r="I331" s="586"/>
      <c r="J331" s="325">
        <v>0</v>
      </c>
    </row>
    <row r="332" spans="1:10" s="216" customFormat="1" ht="42.75" customHeight="1">
      <c r="A332" s="428" t="s">
        <v>446</v>
      </c>
      <c r="B332" s="421">
        <f>ROUND(C332+D332+G332+H332*2.9+J332*$L$1+I332,0)-5</f>
        <v>16179</v>
      </c>
      <c r="C332" s="580">
        <v>0</v>
      </c>
      <c r="D332" s="421">
        <v>15471</v>
      </c>
      <c r="E332" s="490">
        <v>0</v>
      </c>
      <c r="F332" s="499">
        <v>0</v>
      </c>
      <c r="G332" s="421">
        <v>211</v>
      </c>
      <c r="H332" s="421">
        <v>173</v>
      </c>
      <c r="I332" s="421"/>
      <c r="J332" s="423">
        <v>0</v>
      </c>
    </row>
    <row r="333" spans="1:10" s="216" customFormat="1" ht="32.25" customHeight="1">
      <c r="A333" s="428" t="s">
        <v>554</v>
      </c>
      <c r="B333" s="421">
        <f>ROUND(C333+D333+G333+H333*2.9+J333*$L$1+I333,0)</f>
        <v>1902</v>
      </c>
      <c r="C333" s="580">
        <v>0</v>
      </c>
      <c r="D333" s="421">
        <f>SUM(D334:D335)</f>
        <v>1902</v>
      </c>
      <c r="E333" s="587">
        <v>0</v>
      </c>
      <c r="F333" s="587">
        <v>0</v>
      </c>
      <c r="G333" s="587">
        <v>0</v>
      </c>
      <c r="H333" s="446">
        <v>0</v>
      </c>
      <c r="I333" s="588"/>
      <c r="J333" s="419">
        <v>0</v>
      </c>
    </row>
    <row r="334" spans="1:10" s="183" customFormat="1" ht="16.5" customHeight="1">
      <c r="A334" s="410" t="s">
        <v>205</v>
      </c>
      <c r="B334" s="499">
        <f>ROUND(C334+D334+G334+H334*2.9+J334*$L$1+I334,0)</f>
        <v>0</v>
      </c>
      <c r="C334" s="580">
        <v>0</v>
      </c>
      <c r="D334" s="364">
        <f>2236-2236</f>
        <v>0</v>
      </c>
      <c r="E334" s="589">
        <v>0</v>
      </c>
      <c r="F334" s="589">
        <v>0</v>
      </c>
      <c r="G334" s="589">
        <v>0</v>
      </c>
      <c r="H334" s="581">
        <v>0</v>
      </c>
      <c r="I334" s="590"/>
      <c r="J334" s="441">
        <v>0</v>
      </c>
    </row>
    <row r="335" spans="1:12" s="183" customFormat="1" ht="16.5" customHeight="1" thickBot="1">
      <c r="A335" s="410" t="s">
        <v>206</v>
      </c>
      <c r="B335" s="499">
        <f>ROUND(C335+D335+G335+H335*2.9+J335*$L$1+I335,0)</f>
        <v>1902</v>
      </c>
      <c r="C335" s="580">
        <v>0</v>
      </c>
      <c r="D335" s="364">
        <v>1902</v>
      </c>
      <c r="E335" s="589">
        <v>0</v>
      </c>
      <c r="F335" s="589">
        <v>0</v>
      </c>
      <c r="G335" s="589">
        <v>0</v>
      </c>
      <c r="H335" s="3">
        <v>0</v>
      </c>
      <c r="I335" s="590"/>
      <c r="J335" s="441">
        <v>0</v>
      </c>
      <c r="L335" s="451"/>
    </row>
    <row r="336" spans="1:17" ht="32.25" customHeight="1">
      <c r="A336" s="670" t="s">
        <v>364</v>
      </c>
      <c r="B336" s="671">
        <f>SUM(B276,B285:B297,B300,B318:B319,B333,B332,B309,B328:B330)</f>
        <v>453864</v>
      </c>
      <c r="C336" s="671">
        <f>SUM(C276,C285:C297,C300,C318:C319,C333,C332,C309,C328:C330)</f>
        <v>71953</v>
      </c>
      <c r="D336" s="672">
        <f aca="true" t="shared" si="35" ref="D336:J336">SUM(D276,D285:D297,D300,D318:D319,D333,D332,D309,D328:D330)</f>
        <v>88318</v>
      </c>
      <c r="E336" s="673">
        <f t="shared" si="35"/>
        <v>1636</v>
      </c>
      <c r="F336" s="673">
        <f t="shared" si="35"/>
        <v>0</v>
      </c>
      <c r="G336" s="671">
        <f t="shared" si="35"/>
        <v>31695</v>
      </c>
      <c r="H336" s="672">
        <f t="shared" si="35"/>
        <v>83859</v>
      </c>
      <c r="I336" s="674">
        <f t="shared" si="35"/>
        <v>237</v>
      </c>
      <c r="J336" s="675">
        <f t="shared" si="35"/>
        <v>18025</v>
      </c>
      <c r="K336" s="475">
        <f>L336+M336+N336+O336*2.9+P336*2.9+Q336-5</f>
        <v>453864.39999999997</v>
      </c>
      <c r="L336" s="475">
        <f>15978+55975</f>
        <v>71953</v>
      </c>
      <c r="M336" s="475">
        <v>88318</v>
      </c>
      <c r="N336" s="476">
        <v>31695</v>
      </c>
      <c r="O336" s="475">
        <f>84096-237</f>
        <v>83859</v>
      </c>
      <c r="P336" s="476">
        <v>237</v>
      </c>
      <c r="Q336" s="476">
        <v>18025</v>
      </c>
    </row>
    <row r="337" spans="1:17" s="196" customFormat="1" ht="48" customHeight="1">
      <c r="A337" s="562" t="s">
        <v>566</v>
      </c>
      <c r="B337" s="195">
        <f aca="true" t="shared" si="36" ref="B337:B344">ROUND(C337+G337+H337*2.9,0)</f>
        <v>71953</v>
      </c>
      <c r="C337" s="563">
        <f>C338+C341</f>
        <v>71953</v>
      </c>
      <c r="D337" s="346">
        <v>0</v>
      </c>
      <c r="E337" s="579">
        <v>0</v>
      </c>
      <c r="F337" s="571">
        <v>0</v>
      </c>
      <c r="G337" s="579">
        <v>0</v>
      </c>
      <c r="H337" s="346">
        <v>0</v>
      </c>
      <c r="I337" s="579">
        <v>0</v>
      </c>
      <c r="J337" s="582">
        <v>0</v>
      </c>
      <c r="K337" s="474">
        <f>K336-B336</f>
        <v>0.3999999999650754</v>
      </c>
      <c r="L337" s="474">
        <f>L336-C336</f>
        <v>0</v>
      </c>
      <c r="M337" s="474">
        <f>M336-D336</f>
        <v>0</v>
      </c>
      <c r="N337" s="474">
        <f>N336-G336</f>
        <v>0</v>
      </c>
      <c r="O337" s="474">
        <f>O336-H336</f>
        <v>0</v>
      </c>
      <c r="P337" s="474">
        <f>P336-I336</f>
        <v>0</v>
      </c>
      <c r="Q337" s="474">
        <f>Q336-J336</f>
        <v>0</v>
      </c>
    </row>
    <row r="338" spans="1:15" s="196" customFormat="1" ht="48" customHeight="1">
      <c r="A338" s="565" t="s">
        <v>560</v>
      </c>
      <c r="B338" s="195">
        <f t="shared" si="36"/>
        <v>55975</v>
      </c>
      <c r="C338" s="563">
        <f>C302+C311+C321+C278</f>
        <v>55975</v>
      </c>
      <c r="D338" s="346">
        <v>0</v>
      </c>
      <c r="E338" s="579">
        <v>0</v>
      </c>
      <c r="F338" s="571">
        <v>0</v>
      </c>
      <c r="G338" s="579">
        <v>0</v>
      </c>
      <c r="H338" s="346">
        <v>0</v>
      </c>
      <c r="I338" s="579">
        <v>0</v>
      </c>
      <c r="J338" s="582">
        <v>0</v>
      </c>
      <c r="K338" s="173"/>
      <c r="L338" s="591"/>
      <c r="M338" s="591"/>
      <c r="N338" s="197"/>
      <c r="O338" s="197"/>
    </row>
    <row r="339" spans="1:15" s="196" customFormat="1" ht="31.5" customHeight="1">
      <c r="A339" s="565" t="s">
        <v>519</v>
      </c>
      <c r="B339" s="195">
        <f t="shared" si="36"/>
        <v>4694</v>
      </c>
      <c r="C339" s="563">
        <f aca="true" t="shared" si="37" ref="C339:C344">C303+C312+C322+C279</f>
        <v>4694</v>
      </c>
      <c r="D339" s="346">
        <v>0</v>
      </c>
      <c r="E339" s="579">
        <v>0</v>
      </c>
      <c r="F339" s="571">
        <v>0</v>
      </c>
      <c r="G339" s="579">
        <v>0</v>
      </c>
      <c r="H339" s="346">
        <v>0</v>
      </c>
      <c r="I339" s="579">
        <v>0</v>
      </c>
      <c r="J339" s="582">
        <v>0</v>
      </c>
      <c r="K339" s="173"/>
      <c r="M339" s="197"/>
      <c r="N339" s="197"/>
      <c r="O339" s="197"/>
    </row>
    <row r="340" spans="1:15" s="196" customFormat="1" ht="18.75" customHeight="1">
      <c r="A340" s="565" t="s">
        <v>520</v>
      </c>
      <c r="B340" s="195">
        <f t="shared" si="36"/>
        <v>1733</v>
      </c>
      <c r="C340" s="563">
        <f t="shared" si="37"/>
        <v>1733</v>
      </c>
      <c r="D340" s="346">
        <v>0</v>
      </c>
      <c r="E340" s="579">
        <v>0</v>
      </c>
      <c r="F340" s="571">
        <v>0</v>
      </c>
      <c r="G340" s="579">
        <v>0</v>
      </c>
      <c r="H340" s="346">
        <v>0</v>
      </c>
      <c r="I340" s="579">
        <v>0</v>
      </c>
      <c r="J340" s="582">
        <v>0</v>
      </c>
      <c r="K340" s="173"/>
      <c r="M340" s="197"/>
      <c r="N340" s="197"/>
      <c r="O340" s="197"/>
    </row>
    <row r="341" spans="1:15" s="196" customFormat="1" ht="30" customHeight="1">
      <c r="A341" s="565" t="s">
        <v>521</v>
      </c>
      <c r="B341" s="511">
        <f t="shared" si="36"/>
        <v>15978</v>
      </c>
      <c r="C341" s="571">
        <f t="shared" si="37"/>
        <v>15978</v>
      </c>
      <c r="D341" s="346">
        <v>0</v>
      </c>
      <c r="E341" s="561">
        <v>0</v>
      </c>
      <c r="F341" s="571">
        <v>0</v>
      </c>
      <c r="G341" s="561">
        <v>0</v>
      </c>
      <c r="H341" s="346">
        <v>0</v>
      </c>
      <c r="I341" s="561">
        <v>0</v>
      </c>
      <c r="J341" s="564">
        <v>0</v>
      </c>
      <c r="K341" s="173"/>
      <c r="M341" s="197"/>
      <c r="N341" s="197"/>
      <c r="O341" s="197"/>
    </row>
    <row r="342" spans="1:15" s="196" customFormat="1" ht="30" customHeight="1">
      <c r="A342" s="566" t="s">
        <v>135</v>
      </c>
      <c r="B342" s="512">
        <f t="shared" si="36"/>
        <v>0</v>
      </c>
      <c r="C342" s="561">
        <f t="shared" si="37"/>
        <v>0</v>
      </c>
      <c r="D342" s="346">
        <v>0</v>
      </c>
      <c r="E342" s="561">
        <v>0</v>
      </c>
      <c r="F342" s="561">
        <v>0</v>
      </c>
      <c r="G342" s="561">
        <v>0</v>
      </c>
      <c r="H342" s="346">
        <v>0</v>
      </c>
      <c r="I342" s="561">
        <v>0</v>
      </c>
      <c r="J342" s="564">
        <v>0</v>
      </c>
      <c r="K342" s="173"/>
      <c r="M342" s="197"/>
      <c r="N342" s="197"/>
      <c r="O342" s="197"/>
    </row>
    <row r="343" spans="1:15" s="196" customFormat="1" ht="46.5" customHeight="1">
      <c r="A343" s="565" t="s">
        <v>136</v>
      </c>
      <c r="B343" s="512">
        <f t="shared" si="36"/>
        <v>0</v>
      </c>
      <c r="C343" s="561">
        <f t="shared" si="37"/>
        <v>0</v>
      </c>
      <c r="D343" s="346">
        <v>0</v>
      </c>
      <c r="E343" s="561">
        <v>0</v>
      </c>
      <c r="F343" s="561">
        <v>0</v>
      </c>
      <c r="G343" s="561">
        <v>0</v>
      </c>
      <c r="H343" s="346">
        <v>0</v>
      </c>
      <c r="I343" s="561">
        <v>0</v>
      </c>
      <c r="J343" s="564">
        <v>0</v>
      </c>
      <c r="K343" s="173"/>
      <c r="M343" s="197"/>
      <c r="N343" s="197"/>
      <c r="O343" s="197"/>
    </row>
    <row r="344" spans="1:15" s="196" customFormat="1" ht="30" customHeight="1">
      <c r="A344" s="565" t="s">
        <v>535</v>
      </c>
      <c r="B344" s="512">
        <f t="shared" si="36"/>
        <v>0</v>
      </c>
      <c r="C344" s="561">
        <f t="shared" si="37"/>
        <v>0</v>
      </c>
      <c r="D344" s="346">
        <v>0</v>
      </c>
      <c r="E344" s="561">
        <v>0</v>
      </c>
      <c r="F344" s="561">
        <v>0</v>
      </c>
      <c r="G344" s="561">
        <v>0</v>
      </c>
      <c r="H344" s="346">
        <v>0</v>
      </c>
      <c r="I344" s="561">
        <v>0</v>
      </c>
      <c r="J344" s="564">
        <v>0</v>
      </c>
      <c r="K344" s="173"/>
      <c r="M344" s="197"/>
      <c r="N344" s="197"/>
      <c r="O344" s="197"/>
    </row>
    <row r="345" spans="1:10" ht="45" customHeight="1" thickBot="1">
      <c r="A345" s="562" t="s">
        <v>578</v>
      </c>
      <c r="B345" s="195">
        <f>B331</f>
        <v>250</v>
      </c>
      <c r="C345" s="563">
        <f>C331</f>
        <v>0</v>
      </c>
      <c r="D345" s="517">
        <f>D331</f>
        <v>50</v>
      </c>
      <c r="E345" s="561">
        <v>0</v>
      </c>
      <c r="F345" s="571">
        <v>0</v>
      </c>
      <c r="G345" s="561">
        <v>0</v>
      </c>
      <c r="H345" s="346">
        <v>0</v>
      </c>
      <c r="I345" s="561">
        <v>0</v>
      </c>
      <c r="J345" s="564">
        <v>0</v>
      </c>
    </row>
    <row r="346" spans="1:10" ht="16.5" customHeight="1" hidden="1" thickBot="1">
      <c r="A346" s="185"/>
      <c r="B346" s="187"/>
      <c r="C346" s="592"/>
      <c r="D346" s="222"/>
      <c r="E346" s="593"/>
      <c r="F346" s="593"/>
      <c r="G346" s="594"/>
      <c r="I346" s="595"/>
      <c r="J346" s="328"/>
    </row>
    <row r="347" spans="1:15" ht="18.75" customHeight="1" hidden="1" thickBot="1">
      <c r="A347" s="180"/>
      <c r="B347" s="181"/>
      <c r="C347" s="596"/>
      <c r="D347" s="181"/>
      <c r="E347" s="500"/>
      <c r="F347" s="500"/>
      <c r="G347" s="596"/>
      <c r="I347" s="597"/>
      <c r="J347" s="327"/>
      <c r="L347" s="196"/>
      <c r="M347" s="196"/>
      <c r="N347" s="196"/>
      <c r="O347" s="196"/>
    </row>
    <row r="348" spans="1:15" ht="20.25" customHeight="1" hidden="1" thickBot="1">
      <c r="A348" s="825"/>
      <c r="B348" s="826"/>
      <c r="C348" s="826"/>
      <c r="D348" s="826"/>
      <c r="E348" s="826"/>
      <c r="F348" s="826"/>
      <c r="G348" s="826"/>
      <c r="H348" s="827"/>
      <c r="I348" s="412"/>
      <c r="J348" s="335"/>
      <c r="L348" s="196"/>
      <c r="M348" s="196"/>
      <c r="N348" s="196"/>
      <c r="O348" s="196"/>
    </row>
    <row r="349" spans="1:15" ht="18.75" customHeight="1" hidden="1">
      <c r="A349" s="184"/>
      <c r="B349" s="186"/>
      <c r="C349" s="598"/>
      <c r="D349" s="217"/>
      <c r="E349" s="599"/>
      <c r="F349" s="599"/>
      <c r="G349" s="600"/>
      <c r="I349" s="601"/>
      <c r="J349" s="326"/>
      <c r="L349" s="196"/>
      <c r="M349" s="196"/>
      <c r="N349" s="196"/>
      <c r="O349" s="196"/>
    </row>
    <row r="350" spans="1:15" s="196" customFormat="1" ht="45" customHeight="1" hidden="1">
      <c r="A350" s="565"/>
      <c r="B350" s="195"/>
      <c r="C350" s="602"/>
      <c r="D350" s="218"/>
      <c r="E350" s="593"/>
      <c r="F350" s="593"/>
      <c r="G350" s="593"/>
      <c r="H350" s="3"/>
      <c r="I350" s="603"/>
      <c r="J350" s="328"/>
      <c r="K350" s="173"/>
      <c r="L350" s="173"/>
      <c r="M350" s="173"/>
      <c r="N350" s="173"/>
      <c r="O350" s="173"/>
    </row>
    <row r="351" spans="1:15" s="196" customFormat="1" ht="27.75" customHeight="1" hidden="1">
      <c r="A351" s="565"/>
      <c r="B351" s="195"/>
      <c r="C351" s="602"/>
      <c r="D351" s="218"/>
      <c r="E351" s="593"/>
      <c r="F351" s="593"/>
      <c r="G351" s="593"/>
      <c r="H351" s="3"/>
      <c r="I351" s="603"/>
      <c r="J351" s="328"/>
      <c r="K351" s="173"/>
      <c r="L351" s="173"/>
      <c r="M351" s="173"/>
      <c r="N351" s="173"/>
      <c r="O351" s="173"/>
    </row>
    <row r="352" spans="1:15" s="196" customFormat="1" ht="33.75" customHeight="1" hidden="1">
      <c r="A352" s="565"/>
      <c r="B352" s="195"/>
      <c r="C352" s="602"/>
      <c r="D352" s="218"/>
      <c r="E352" s="593"/>
      <c r="F352" s="593"/>
      <c r="G352" s="593"/>
      <c r="H352" s="3"/>
      <c r="I352" s="603"/>
      <c r="J352" s="328"/>
      <c r="K352" s="173"/>
      <c r="L352" s="173"/>
      <c r="M352" s="173"/>
      <c r="N352" s="173"/>
      <c r="O352" s="173"/>
    </row>
    <row r="353" spans="1:10" ht="21" customHeight="1" hidden="1">
      <c r="A353" s="184"/>
      <c r="B353" s="186"/>
      <c r="C353" s="598"/>
      <c r="D353" s="217"/>
      <c r="E353" s="599"/>
      <c r="F353" s="599"/>
      <c r="G353" s="600"/>
      <c r="I353" s="601"/>
      <c r="J353" s="326"/>
    </row>
    <row r="354" spans="1:18" s="568" customFormat="1" ht="15.75" hidden="1" thickBot="1">
      <c r="A354" s="565"/>
      <c r="B354" s="195"/>
      <c r="C354" s="602"/>
      <c r="D354" s="218"/>
      <c r="E354" s="593"/>
      <c r="F354" s="593"/>
      <c r="G354" s="593"/>
      <c r="H354" s="3"/>
      <c r="I354" s="603"/>
      <c r="J354" s="328"/>
      <c r="K354" s="173"/>
      <c r="L354" s="173"/>
      <c r="M354" s="173"/>
      <c r="N354" s="173"/>
      <c r="O354" s="173"/>
      <c r="R354" s="567"/>
    </row>
    <row r="355" spans="1:18" s="568" customFormat="1" ht="15.75" hidden="1" thickBot="1">
      <c r="A355" s="565"/>
      <c r="B355" s="195"/>
      <c r="C355" s="602"/>
      <c r="D355" s="218"/>
      <c r="E355" s="593"/>
      <c r="F355" s="593"/>
      <c r="G355" s="593"/>
      <c r="H355" s="3"/>
      <c r="I355" s="603"/>
      <c r="J355" s="328"/>
      <c r="K355" s="173"/>
      <c r="L355" s="173"/>
      <c r="M355" s="173"/>
      <c r="N355" s="173"/>
      <c r="O355" s="173"/>
      <c r="R355" s="567"/>
    </row>
    <row r="356" spans="1:18" s="568" customFormat="1" ht="15.75" hidden="1" thickBot="1">
      <c r="A356" s="565"/>
      <c r="B356" s="195"/>
      <c r="C356" s="602"/>
      <c r="D356" s="218"/>
      <c r="E356" s="593"/>
      <c r="F356" s="593"/>
      <c r="G356" s="593"/>
      <c r="H356" s="3"/>
      <c r="I356" s="603"/>
      <c r="J356" s="328"/>
      <c r="K356" s="173"/>
      <c r="L356" s="173"/>
      <c r="M356" s="173"/>
      <c r="N356" s="173"/>
      <c r="O356" s="173"/>
      <c r="R356" s="567"/>
    </row>
    <row r="357" spans="1:18" s="568" customFormat="1" ht="15.75" hidden="1" thickBot="1">
      <c r="A357" s="565"/>
      <c r="B357" s="195"/>
      <c r="C357" s="602"/>
      <c r="D357" s="218"/>
      <c r="E357" s="593"/>
      <c r="F357" s="593"/>
      <c r="G357" s="593"/>
      <c r="H357" s="3"/>
      <c r="I357" s="603"/>
      <c r="J357" s="328"/>
      <c r="K357" s="215">
        <f>K356-B356</f>
        <v>0</v>
      </c>
      <c r="L357" s="215">
        <f>L356-C356</f>
        <v>0</v>
      </c>
      <c r="M357" s="215">
        <f>M356-G356</f>
        <v>0</v>
      </c>
      <c r="N357" s="215">
        <f>N356-H356</f>
        <v>0</v>
      </c>
      <c r="O357" s="215">
        <f>O356-J356</f>
        <v>0</v>
      </c>
      <c r="R357" s="567"/>
    </row>
    <row r="358" spans="1:10" ht="17.25" customHeight="1" hidden="1">
      <c r="A358" s="184"/>
      <c r="B358" s="186"/>
      <c r="C358" s="598"/>
      <c r="D358" s="217"/>
      <c r="E358" s="593"/>
      <c r="F358" s="593"/>
      <c r="G358" s="594"/>
      <c r="I358" s="595"/>
      <c r="J358" s="328"/>
    </row>
    <row r="359" spans="1:10" ht="14.25" customHeight="1" hidden="1">
      <c r="A359" s="184"/>
      <c r="B359" s="186"/>
      <c r="C359" s="598"/>
      <c r="D359" s="217"/>
      <c r="E359" s="593"/>
      <c r="F359" s="593"/>
      <c r="G359" s="594"/>
      <c r="I359" s="595"/>
      <c r="J359" s="328"/>
    </row>
    <row r="360" spans="1:10" ht="14.25" customHeight="1" hidden="1">
      <c r="A360" s="184"/>
      <c r="B360" s="186"/>
      <c r="C360" s="598"/>
      <c r="D360" s="217"/>
      <c r="E360" s="593"/>
      <c r="F360" s="593"/>
      <c r="G360" s="594"/>
      <c r="I360" s="595"/>
      <c r="J360" s="328"/>
    </row>
    <row r="361" spans="1:10" ht="13.5" customHeight="1" hidden="1">
      <c r="A361" s="184"/>
      <c r="B361" s="186"/>
      <c r="C361" s="598"/>
      <c r="D361" s="217"/>
      <c r="E361" s="593"/>
      <c r="F361" s="593"/>
      <c r="G361" s="594"/>
      <c r="I361" s="595"/>
      <c r="J361" s="328"/>
    </row>
    <row r="362" spans="1:10" ht="13.5" customHeight="1" hidden="1">
      <c r="A362" s="184"/>
      <c r="B362" s="186"/>
      <c r="C362" s="598"/>
      <c r="D362" s="217"/>
      <c r="E362" s="593"/>
      <c r="F362" s="593"/>
      <c r="G362" s="594"/>
      <c r="I362" s="595"/>
      <c r="J362" s="328"/>
    </row>
    <row r="363" spans="1:10" ht="15.75" customHeight="1" hidden="1">
      <c r="A363" s="184"/>
      <c r="B363" s="186"/>
      <c r="C363" s="598"/>
      <c r="D363" s="217"/>
      <c r="E363" s="599"/>
      <c r="F363" s="599"/>
      <c r="G363" s="600"/>
      <c r="I363" s="601"/>
      <c r="J363" s="326"/>
    </row>
    <row r="364" spans="1:10" ht="13.5" customHeight="1" hidden="1">
      <c r="A364" s="182"/>
      <c r="B364" s="186"/>
      <c r="C364" s="592"/>
      <c r="D364" s="222"/>
      <c r="E364" s="593"/>
      <c r="F364" s="593"/>
      <c r="G364" s="594"/>
      <c r="I364" s="595"/>
      <c r="J364" s="328"/>
    </row>
    <row r="365" spans="1:10" ht="13.5" customHeight="1" hidden="1">
      <c r="A365" s="184"/>
      <c r="B365" s="186"/>
      <c r="C365" s="598"/>
      <c r="D365" s="217"/>
      <c r="E365" s="593"/>
      <c r="F365" s="593"/>
      <c r="G365" s="594"/>
      <c r="I365" s="595"/>
      <c r="J365" s="328"/>
    </row>
    <row r="366" spans="1:10" ht="14.25" customHeight="1" hidden="1">
      <c r="A366" s="184"/>
      <c r="B366" s="186"/>
      <c r="C366" s="598"/>
      <c r="D366" s="217"/>
      <c r="E366" s="593"/>
      <c r="F366" s="593"/>
      <c r="G366" s="594"/>
      <c r="I366" s="595"/>
      <c r="J366" s="328"/>
    </row>
    <row r="367" spans="1:10" ht="15" customHeight="1" hidden="1">
      <c r="A367" s="184"/>
      <c r="B367" s="186"/>
      <c r="C367" s="598"/>
      <c r="D367" s="217"/>
      <c r="E367" s="593"/>
      <c r="F367" s="593"/>
      <c r="G367" s="594"/>
      <c r="I367" s="595"/>
      <c r="J367" s="328"/>
    </row>
    <row r="368" spans="1:10" ht="28.5" customHeight="1" hidden="1">
      <c r="A368" s="184"/>
      <c r="B368" s="186"/>
      <c r="C368" s="598"/>
      <c r="D368" s="217"/>
      <c r="E368" s="593"/>
      <c r="F368" s="593"/>
      <c r="G368" s="594"/>
      <c r="I368" s="595"/>
      <c r="J368" s="328"/>
    </row>
    <row r="369" spans="1:11" s="183" customFormat="1" ht="15.75" hidden="1" thickBot="1">
      <c r="A369" s="188"/>
      <c r="B369" s="186"/>
      <c r="C369" s="604"/>
      <c r="D369" s="520"/>
      <c r="E369" s="605"/>
      <c r="F369" s="605"/>
      <c r="G369" s="606"/>
      <c r="H369" s="3"/>
      <c r="I369" s="607"/>
      <c r="J369" s="329"/>
      <c r="K369" s="173"/>
    </row>
    <row r="370" spans="1:12" ht="17.25" customHeight="1" hidden="1" thickBot="1">
      <c r="A370" s="180"/>
      <c r="B370" s="181"/>
      <c r="C370" s="596"/>
      <c r="D370" s="181"/>
      <c r="E370" s="500"/>
      <c r="F370" s="500"/>
      <c r="G370" s="596"/>
      <c r="I370" s="597"/>
      <c r="J370" s="327"/>
      <c r="L370" s="174"/>
    </row>
    <row r="371" spans="1:10" ht="20.25" customHeight="1" hidden="1" thickBot="1">
      <c r="A371" s="825"/>
      <c r="B371" s="826"/>
      <c r="C371" s="826"/>
      <c r="D371" s="826"/>
      <c r="E371" s="826"/>
      <c r="F371" s="826"/>
      <c r="G371" s="826"/>
      <c r="H371" s="827"/>
      <c r="I371" s="412"/>
      <c r="J371" s="335"/>
    </row>
    <row r="372" spans="1:10" ht="18" customHeight="1" hidden="1">
      <c r="A372" s="184"/>
      <c r="B372" s="186"/>
      <c r="C372" s="598"/>
      <c r="D372" s="217"/>
      <c r="E372" s="593"/>
      <c r="F372" s="593"/>
      <c r="G372" s="594"/>
      <c r="I372" s="595"/>
      <c r="J372" s="328"/>
    </row>
    <row r="373" spans="1:15" s="196" customFormat="1" ht="44.25" customHeight="1" hidden="1">
      <c r="A373" s="565"/>
      <c r="B373" s="195"/>
      <c r="C373" s="602"/>
      <c r="D373" s="218"/>
      <c r="E373" s="593"/>
      <c r="F373" s="593"/>
      <c r="G373" s="593"/>
      <c r="H373" s="3"/>
      <c r="I373" s="603"/>
      <c r="J373" s="328"/>
      <c r="K373" s="173"/>
      <c r="M373" s="197"/>
      <c r="N373" s="197"/>
      <c r="O373" s="197"/>
    </row>
    <row r="374" spans="1:15" s="196" customFormat="1" ht="31.5" customHeight="1" hidden="1">
      <c r="A374" s="565"/>
      <c r="B374" s="195"/>
      <c r="C374" s="602"/>
      <c r="D374" s="218"/>
      <c r="E374" s="593"/>
      <c r="F374" s="593"/>
      <c r="G374" s="593"/>
      <c r="H374" s="3"/>
      <c r="I374" s="603"/>
      <c r="J374" s="328"/>
      <c r="K374" s="173"/>
      <c r="M374" s="197"/>
      <c r="N374" s="197"/>
      <c r="O374" s="197"/>
    </row>
    <row r="375" spans="1:15" s="196" customFormat="1" ht="33" customHeight="1" hidden="1">
      <c r="A375" s="565"/>
      <c r="B375" s="195"/>
      <c r="C375" s="602"/>
      <c r="D375" s="218"/>
      <c r="E375" s="593"/>
      <c r="F375" s="593"/>
      <c r="G375" s="593"/>
      <c r="H375" s="3"/>
      <c r="I375" s="603"/>
      <c r="J375" s="328"/>
      <c r="K375" s="173"/>
      <c r="M375" s="197"/>
      <c r="N375" s="197"/>
      <c r="O375" s="197"/>
    </row>
    <row r="376" spans="1:10" ht="18" customHeight="1" hidden="1">
      <c r="A376" s="184"/>
      <c r="B376" s="186"/>
      <c r="C376" s="598"/>
      <c r="D376" s="217"/>
      <c r="E376" s="593"/>
      <c r="F376" s="593"/>
      <c r="G376" s="594"/>
      <c r="I376" s="595"/>
      <c r="J376" s="328"/>
    </row>
    <row r="377" spans="1:18" s="568" customFormat="1" ht="15.75" hidden="1" thickBot="1">
      <c r="A377" s="565"/>
      <c r="B377" s="195"/>
      <c r="C377" s="602"/>
      <c r="D377" s="218"/>
      <c r="E377" s="593"/>
      <c r="F377" s="593"/>
      <c r="G377" s="593"/>
      <c r="H377" s="3"/>
      <c r="I377" s="603"/>
      <c r="J377" s="328"/>
      <c r="K377" s="173"/>
      <c r="L377" s="608"/>
      <c r="M377" s="567"/>
      <c r="N377" s="567"/>
      <c r="O377" s="567"/>
      <c r="R377" s="567"/>
    </row>
    <row r="378" spans="1:18" s="568" customFormat="1" ht="15.75" hidden="1" thickBot="1">
      <c r="A378" s="565"/>
      <c r="B378" s="195"/>
      <c r="C378" s="602"/>
      <c r="D378" s="218"/>
      <c r="E378" s="593"/>
      <c r="F378" s="593"/>
      <c r="G378" s="593"/>
      <c r="H378" s="3"/>
      <c r="I378" s="603"/>
      <c r="J378" s="328"/>
      <c r="K378" s="173"/>
      <c r="L378" s="608"/>
      <c r="M378" s="567"/>
      <c r="N378" s="567"/>
      <c r="O378" s="567"/>
      <c r="R378" s="567"/>
    </row>
    <row r="379" spans="1:18" s="568" customFormat="1" ht="15.75" hidden="1" thickBot="1">
      <c r="A379" s="565"/>
      <c r="B379" s="195"/>
      <c r="C379" s="602"/>
      <c r="D379" s="218"/>
      <c r="E379" s="593"/>
      <c r="F379" s="593"/>
      <c r="G379" s="593"/>
      <c r="H379" s="3"/>
      <c r="I379" s="603"/>
      <c r="J379" s="328"/>
      <c r="K379" s="173"/>
      <c r="L379" s="608"/>
      <c r="M379" s="567"/>
      <c r="N379" s="567"/>
      <c r="O379" s="567"/>
      <c r="R379" s="567"/>
    </row>
    <row r="380" spans="1:18" s="568" customFormat="1" ht="15.75" hidden="1" thickBot="1">
      <c r="A380" s="565"/>
      <c r="B380" s="195"/>
      <c r="C380" s="602"/>
      <c r="D380" s="218"/>
      <c r="E380" s="593"/>
      <c r="F380" s="593"/>
      <c r="G380" s="593"/>
      <c r="H380" s="3"/>
      <c r="I380" s="603"/>
      <c r="J380" s="328"/>
      <c r="K380" s="173"/>
      <c r="L380" s="608"/>
      <c r="M380" s="567"/>
      <c r="N380" s="567"/>
      <c r="O380" s="567"/>
      <c r="R380" s="567"/>
    </row>
    <row r="381" spans="1:10" ht="17.25" customHeight="1" hidden="1">
      <c r="A381" s="184"/>
      <c r="B381" s="186"/>
      <c r="C381" s="598"/>
      <c r="D381" s="217"/>
      <c r="E381" s="593"/>
      <c r="F381" s="593"/>
      <c r="G381" s="594"/>
      <c r="I381" s="595"/>
      <c r="J381" s="328"/>
    </row>
    <row r="382" spans="1:10" ht="17.25" customHeight="1" hidden="1">
      <c r="A382" s="184"/>
      <c r="B382" s="186"/>
      <c r="C382" s="598"/>
      <c r="D382" s="217"/>
      <c r="E382" s="593"/>
      <c r="F382" s="593"/>
      <c r="G382" s="594"/>
      <c r="I382" s="595"/>
      <c r="J382" s="328"/>
    </row>
    <row r="383" spans="1:10" ht="18.75" customHeight="1" hidden="1">
      <c r="A383" s="184"/>
      <c r="B383" s="186"/>
      <c r="C383" s="598"/>
      <c r="D383" s="217"/>
      <c r="E383" s="593"/>
      <c r="F383" s="593"/>
      <c r="G383" s="594"/>
      <c r="I383" s="595"/>
      <c r="J383" s="328"/>
    </row>
    <row r="384" spans="1:10" ht="13.5" customHeight="1" hidden="1">
      <c r="A384" s="184"/>
      <c r="B384" s="186"/>
      <c r="C384" s="598"/>
      <c r="D384" s="217"/>
      <c r="E384" s="593"/>
      <c r="F384" s="593"/>
      <c r="G384" s="594"/>
      <c r="I384" s="595"/>
      <c r="J384" s="328"/>
    </row>
    <row r="385" spans="1:10" ht="13.5" customHeight="1" hidden="1">
      <c r="A385" s="211"/>
      <c r="B385" s="186"/>
      <c r="C385" s="598"/>
      <c r="D385" s="217"/>
      <c r="E385" s="593"/>
      <c r="F385" s="593"/>
      <c r="G385" s="594"/>
      <c r="I385" s="595"/>
      <c r="J385" s="328"/>
    </row>
    <row r="386" spans="1:10" ht="13.5" customHeight="1" hidden="1">
      <c r="A386" s="184"/>
      <c r="B386" s="186"/>
      <c r="C386" s="598"/>
      <c r="D386" s="217"/>
      <c r="E386" s="593"/>
      <c r="F386" s="593"/>
      <c r="G386" s="594"/>
      <c r="I386" s="595"/>
      <c r="J386" s="328"/>
    </row>
    <row r="387" spans="1:10" ht="15.75" customHeight="1" hidden="1">
      <c r="A387" s="184"/>
      <c r="B387" s="186"/>
      <c r="C387" s="598"/>
      <c r="D387" s="217"/>
      <c r="E387" s="599"/>
      <c r="F387" s="599"/>
      <c r="G387" s="600"/>
      <c r="I387" s="601"/>
      <c r="J387" s="326"/>
    </row>
    <row r="388" spans="1:10" ht="15" customHeight="1" hidden="1">
      <c r="A388" s="182"/>
      <c r="B388" s="186"/>
      <c r="C388" s="592"/>
      <c r="D388" s="222"/>
      <c r="E388" s="593"/>
      <c r="F388" s="593"/>
      <c r="G388" s="594"/>
      <c r="I388" s="595"/>
      <c r="J388" s="328"/>
    </row>
    <row r="389" spans="1:10" ht="14.25" customHeight="1" hidden="1">
      <c r="A389" s="184"/>
      <c r="B389" s="186"/>
      <c r="C389" s="598"/>
      <c r="D389" s="217"/>
      <c r="E389" s="593"/>
      <c r="F389" s="593"/>
      <c r="G389" s="594"/>
      <c r="I389" s="595"/>
      <c r="J389" s="328"/>
    </row>
    <row r="390" spans="1:11" s="183" customFormat="1" ht="28.5" customHeight="1" hidden="1" thickBot="1">
      <c r="A390" s="184"/>
      <c r="B390" s="186"/>
      <c r="C390" s="598"/>
      <c r="D390" s="217"/>
      <c r="E390" s="593"/>
      <c r="F390" s="593"/>
      <c r="G390" s="594"/>
      <c r="H390" s="3"/>
      <c r="I390" s="595"/>
      <c r="J390" s="328"/>
      <c r="K390" s="173"/>
    </row>
    <row r="391" spans="1:10" ht="18" customHeight="1" hidden="1" thickBot="1">
      <c r="A391" s="180"/>
      <c r="B391" s="181"/>
      <c r="C391" s="596"/>
      <c r="D391" s="181"/>
      <c r="E391" s="500"/>
      <c r="F391" s="500"/>
      <c r="G391" s="596"/>
      <c r="I391" s="597"/>
      <c r="J391" s="327"/>
    </row>
    <row r="392" spans="1:10" ht="18.75" customHeight="1" hidden="1" thickBot="1">
      <c r="A392" s="841"/>
      <c r="B392" s="852"/>
      <c r="C392" s="852"/>
      <c r="D392" s="852"/>
      <c r="E392" s="852"/>
      <c r="F392" s="852"/>
      <c r="G392" s="852"/>
      <c r="H392" s="853"/>
      <c r="I392" s="412"/>
      <c r="J392" s="335"/>
    </row>
    <row r="393" spans="1:10" ht="18.75" customHeight="1" hidden="1">
      <c r="A393" s="200"/>
      <c r="B393" s="201"/>
      <c r="C393" s="609"/>
      <c r="D393" s="521"/>
      <c r="E393" s="610"/>
      <c r="F393" s="610"/>
      <c r="G393" s="609"/>
      <c r="I393" s="611"/>
      <c r="J393" s="330"/>
    </row>
    <row r="394" spans="1:15" s="196" customFormat="1" ht="46.5" customHeight="1" hidden="1">
      <c r="A394" s="566"/>
      <c r="B394" s="199"/>
      <c r="C394" s="602"/>
      <c r="D394" s="218"/>
      <c r="E394" s="602"/>
      <c r="F394" s="602"/>
      <c r="G394" s="602"/>
      <c r="H394" s="3"/>
      <c r="I394" s="612"/>
      <c r="J394" s="326"/>
      <c r="K394" s="173"/>
      <c r="M394" s="197"/>
      <c r="N394" s="197"/>
      <c r="O394" s="197"/>
    </row>
    <row r="395" spans="1:15" s="196" customFormat="1" ht="29.25" customHeight="1" hidden="1">
      <c r="A395" s="566"/>
      <c r="B395" s="199"/>
      <c r="C395" s="602"/>
      <c r="D395" s="218"/>
      <c r="E395" s="602"/>
      <c r="F395" s="602"/>
      <c r="G395" s="602"/>
      <c r="H395" s="3"/>
      <c r="I395" s="612"/>
      <c r="J395" s="326"/>
      <c r="K395" s="173"/>
      <c r="M395" s="197"/>
      <c r="N395" s="197"/>
      <c r="O395" s="197"/>
    </row>
    <row r="396" spans="1:15" s="196" customFormat="1" ht="28.5" customHeight="1" hidden="1">
      <c r="A396" s="566"/>
      <c r="B396" s="199"/>
      <c r="C396" s="602"/>
      <c r="D396" s="218"/>
      <c r="E396" s="602"/>
      <c r="F396" s="602"/>
      <c r="G396" s="602"/>
      <c r="H396" s="3"/>
      <c r="I396" s="612"/>
      <c r="J396" s="326"/>
      <c r="K396" s="173"/>
      <c r="M396" s="197"/>
      <c r="N396" s="197"/>
      <c r="O396" s="197"/>
    </row>
    <row r="397" spans="1:10" ht="15.75" hidden="1" thickBot="1">
      <c r="A397" s="184"/>
      <c r="B397" s="186"/>
      <c r="C397" s="598"/>
      <c r="D397" s="217"/>
      <c r="E397" s="602"/>
      <c r="F397" s="602"/>
      <c r="G397" s="598"/>
      <c r="I397" s="601"/>
      <c r="J397" s="326"/>
    </row>
    <row r="398" spans="1:18" s="568" customFormat="1" ht="15.75" hidden="1" thickBot="1">
      <c r="A398" s="566"/>
      <c r="B398" s="199"/>
      <c r="C398" s="602"/>
      <c r="D398" s="218"/>
      <c r="E398" s="602"/>
      <c r="F398" s="602"/>
      <c r="G398" s="602"/>
      <c r="H398" s="3"/>
      <c r="I398" s="612"/>
      <c r="J398" s="326"/>
      <c r="K398" s="173"/>
      <c r="L398" s="608"/>
      <c r="M398" s="567"/>
      <c r="N398" s="567"/>
      <c r="O398" s="567"/>
      <c r="R398" s="567"/>
    </row>
    <row r="399" spans="1:18" s="568" customFormat="1" ht="15.75" hidden="1" thickBot="1">
      <c r="A399" s="566"/>
      <c r="B399" s="199"/>
      <c r="C399" s="602"/>
      <c r="D399" s="218"/>
      <c r="E399" s="602"/>
      <c r="F399" s="602"/>
      <c r="G399" s="602"/>
      <c r="H399" s="3"/>
      <c r="I399" s="612"/>
      <c r="J399" s="326"/>
      <c r="K399" s="173"/>
      <c r="L399" s="608"/>
      <c r="M399" s="567"/>
      <c r="N399" s="567"/>
      <c r="O399" s="567"/>
      <c r="R399" s="567"/>
    </row>
    <row r="400" spans="1:18" s="568" customFormat="1" ht="15.75" hidden="1" thickBot="1">
      <c r="A400" s="566"/>
      <c r="B400" s="199"/>
      <c r="C400" s="602"/>
      <c r="D400" s="218"/>
      <c r="E400" s="602"/>
      <c r="F400" s="602"/>
      <c r="G400" s="602"/>
      <c r="H400" s="3"/>
      <c r="I400" s="612"/>
      <c r="J400" s="326"/>
      <c r="K400" s="173"/>
      <c r="L400" s="608"/>
      <c r="M400" s="567"/>
      <c r="N400" s="567"/>
      <c r="O400" s="567"/>
      <c r="R400" s="567"/>
    </row>
    <row r="401" spans="1:18" s="568" customFormat="1" ht="15.75" hidden="1" thickBot="1">
      <c r="A401" s="566"/>
      <c r="B401" s="199"/>
      <c r="C401" s="602"/>
      <c r="D401" s="218"/>
      <c r="E401" s="602"/>
      <c r="F401" s="602"/>
      <c r="G401" s="602"/>
      <c r="H401" s="3"/>
      <c r="I401" s="612"/>
      <c r="J401" s="326"/>
      <c r="K401" s="173"/>
      <c r="L401" s="608"/>
      <c r="M401" s="567"/>
      <c r="N401" s="567"/>
      <c r="O401" s="567"/>
      <c r="R401" s="567"/>
    </row>
    <row r="402" spans="1:10" ht="18.75" customHeight="1" hidden="1">
      <c r="A402" s="184"/>
      <c r="B402" s="186"/>
      <c r="C402" s="598"/>
      <c r="D402" s="217"/>
      <c r="E402" s="602"/>
      <c r="F402" s="602"/>
      <c r="G402" s="598"/>
      <c r="I402" s="601"/>
      <c r="J402" s="326"/>
    </row>
    <row r="403" spans="1:10" ht="18.75" customHeight="1" hidden="1">
      <c r="A403" s="184"/>
      <c r="B403" s="186"/>
      <c r="C403" s="598"/>
      <c r="D403" s="217"/>
      <c r="E403" s="602"/>
      <c r="F403" s="602"/>
      <c r="G403" s="598"/>
      <c r="I403" s="601"/>
      <c r="J403" s="326"/>
    </row>
    <row r="404" spans="1:10" ht="18.75" customHeight="1" hidden="1">
      <c r="A404" s="184"/>
      <c r="B404" s="186"/>
      <c r="C404" s="598"/>
      <c r="D404" s="217"/>
      <c r="E404" s="602"/>
      <c r="F404" s="602"/>
      <c r="G404" s="598"/>
      <c r="I404" s="601"/>
      <c r="J404" s="326"/>
    </row>
    <row r="405" spans="1:10" ht="18.75" customHeight="1" hidden="1">
      <c r="A405" s="184"/>
      <c r="B405" s="186"/>
      <c r="C405" s="598"/>
      <c r="D405" s="217"/>
      <c r="E405" s="602"/>
      <c r="F405" s="602"/>
      <c r="G405" s="598"/>
      <c r="I405" s="601"/>
      <c r="J405" s="326"/>
    </row>
    <row r="406" spans="1:10" ht="18.75" customHeight="1" hidden="1">
      <c r="A406" s="184"/>
      <c r="B406" s="186"/>
      <c r="C406" s="598"/>
      <c r="D406" s="217"/>
      <c r="E406" s="602"/>
      <c r="F406" s="602"/>
      <c r="G406" s="598"/>
      <c r="I406" s="601"/>
      <c r="J406" s="326"/>
    </row>
    <row r="407" spans="1:10" ht="33.75" customHeight="1" hidden="1">
      <c r="A407" s="184"/>
      <c r="B407" s="186"/>
      <c r="C407" s="598"/>
      <c r="D407" s="217"/>
      <c r="E407" s="602"/>
      <c r="F407" s="602"/>
      <c r="G407" s="598"/>
      <c r="I407" s="601"/>
      <c r="J407" s="326"/>
    </row>
    <row r="408" spans="1:10" ht="18.75" customHeight="1" hidden="1" thickBot="1">
      <c r="A408" s="202"/>
      <c r="B408" s="203"/>
      <c r="C408" s="613"/>
      <c r="D408" s="348"/>
      <c r="E408" s="614"/>
      <c r="F408" s="614"/>
      <c r="G408" s="613"/>
      <c r="I408" s="607"/>
      <c r="J408" s="329"/>
    </row>
    <row r="409" spans="1:10" ht="18.75" customHeight="1" hidden="1" thickBot="1">
      <c r="A409" s="180"/>
      <c r="B409" s="181"/>
      <c r="C409" s="596"/>
      <c r="D409" s="181"/>
      <c r="E409" s="500"/>
      <c r="F409" s="500"/>
      <c r="G409" s="596"/>
      <c r="I409" s="597"/>
      <c r="J409" s="327"/>
    </row>
    <row r="410" spans="1:10" ht="18.75" customHeight="1" hidden="1" thickBot="1">
      <c r="A410" s="825"/>
      <c r="B410" s="826"/>
      <c r="C410" s="826"/>
      <c r="D410" s="826"/>
      <c r="E410" s="826"/>
      <c r="F410" s="826"/>
      <c r="G410" s="826"/>
      <c r="H410" s="827"/>
      <c r="I410" s="412"/>
      <c r="J410" s="335"/>
    </row>
    <row r="411" spans="1:10" ht="13.5" customHeight="1" hidden="1">
      <c r="A411" s="177"/>
      <c r="B411" s="186"/>
      <c r="C411" s="592"/>
      <c r="D411" s="222"/>
      <c r="E411" s="593"/>
      <c r="F411" s="593"/>
      <c r="G411" s="594"/>
      <c r="I411" s="595"/>
      <c r="J411" s="328"/>
    </row>
    <row r="412" spans="1:15" s="196" customFormat="1" ht="44.25" customHeight="1" hidden="1">
      <c r="A412" s="565"/>
      <c r="B412" s="195"/>
      <c r="C412" s="602"/>
      <c r="D412" s="218"/>
      <c r="E412" s="593"/>
      <c r="F412" s="593"/>
      <c r="G412" s="593"/>
      <c r="H412" s="3"/>
      <c r="I412" s="603"/>
      <c r="J412" s="328"/>
      <c r="K412" s="173"/>
      <c r="M412" s="197"/>
      <c r="N412" s="197"/>
      <c r="O412" s="197"/>
    </row>
    <row r="413" spans="1:15" s="196" customFormat="1" ht="31.5" customHeight="1" hidden="1">
      <c r="A413" s="565"/>
      <c r="B413" s="195"/>
      <c r="C413" s="602"/>
      <c r="D413" s="218"/>
      <c r="E413" s="593"/>
      <c r="F413" s="593"/>
      <c r="G413" s="593"/>
      <c r="H413" s="3"/>
      <c r="I413" s="603"/>
      <c r="J413" s="328"/>
      <c r="K413" s="173"/>
      <c r="M413" s="197"/>
      <c r="N413" s="197"/>
      <c r="O413" s="197"/>
    </row>
    <row r="414" spans="1:15" s="196" customFormat="1" ht="33" customHeight="1" hidden="1">
      <c r="A414" s="565"/>
      <c r="B414" s="195"/>
      <c r="C414" s="602"/>
      <c r="D414" s="218"/>
      <c r="E414" s="593"/>
      <c r="F414" s="593"/>
      <c r="G414" s="593"/>
      <c r="H414" s="3"/>
      <c r="I414" s="603"/>
      <c r="J414" s="328"/>
      <c r="K414" s="173"/>
      <c r="M414" s="197"/>
      <c r="N414" s="197"/>
      <c r="O414" s="197"/>
    </row>
    <row r="415" spans="1:10" ht="19.5" customHeight="1" hidden="1">
      <c r="A415" s="189"/>
      <c r="B415" s="186"/>
      <c r="C415" s="598"/>
      <c r="D415" s="217"/>
      <c r="E415" s="593"/>
      <c r="F415" s="593"/>
      <c r="G415" s="594"/>
      <c r="I415" s="595"/>
      <c r="J415" s="328"/>
    </row>
    <row r="416" spans="1:10" ht="19.5" customHeight="1" hidden="1">
      <c r="A416" s="189"/>
      <c r="B416" s="186"/>
      <c r="C416" s="598"/>
      <c r="D416" s="217"/>
      <c r="E416" s="593"/>
      <c r="F416" s="593"/>
      <c r="G416" s="594"/>
      <c r="I416" s="595"/>
      <c r="J416" s="328"/>
    </row>
    <row r="417" spans="1:18" s="568" customFormat="1" ht="15.75" hidden="1" thickBot="1">
      <c r="A417" s="565"/>
      <c r="B417" s="195"/>
      <c r="C417" s="602"/>
      <c r="D417" s="218"/>
      <c r="E417" s="593"/>
      <c r="F417" s="593"/>
      <c r="G417" s="593"/>
      <c r="H417" s="3"/>
      <c r="I417" s="603"/>
      <c r="J417" s="328"/>
      <c r="K417" s="173"/>
      <c r="L417" s="608"/>
      <c r="M417" s="567"/>
      <c r="N417" s="567"/>
      <c r="O417" s="567"/>
      <c r="R417" s="567"/>
    </row>
    <row r="418" spans="1:18" s="568" customFormat="1" ht="15.75" hidden="1" thickBot="1">
      <c r="A418" s="565"/>
      <c r="B418" s="195"/>
      <c r="C418" s="602"/>
      <c r="D418" s="218"/>
      <c r="E418" s="593"/>
      <c r="F418" s="593"/>
      <c r="G418" s="593"/>
      <c r="H418" s="3"/>
      <c r="I418" s="603"/>
      <c r="J418" s="328"/>
      <c r="K418" s="173"/>
      <c r="L418" s="608"/>
      <c r="M418" s="567"/>
      <c r="N418" s="567"/>
      <c r="O418" s="567"/>
      <c r="R418" s="567"/>
    </row>
    <row r="419" spans="1:18" s="568" customFormat="1" ht="15.75" hidden="1" thickBot="1">
      <c r="A419" s="565"/>
      <c r="B419" s="195"/>
      <c r="C419" s="602"/>
      <c r="D419" s="218"/>
      <c r="E419" s="593"/>
      <c r="F419" s="593"/>
      <c r="G419" s="593"/>
      <c r="H419" s="3"/>
      <c r="I419" s="603"/>
      <c r="J419" s="328"/>
      <c r="K419" s="173"/>
      <c r="L419" s="608"/>
      <c r="M419" s="567"/>
      <c r="N419" s="567"/>
      <c r="O419" s="567"/>
      <c r="R419" s="567"/>
    </row>
    <row r="420" spans="1:18" s="568" customFormat="1" ht="15.75" hidden="1" thickBot="1">
      <c r="A420" s="565"/>
      <c r="B420" s="195"/>
      <c r="C420" s="602"/>
      <c r="D420" s="218"/>
      <c r="E420" s="593"/>
      <c r="F420" s="593"/>
      <c r="G420" s="593"/>
      <c r="H420" s="3"/>
      <c r="I420" s="603"/>
      <c r="J420" s="328"/>
      <c r="K420" s="173"/>
      <c r="L420" s="608"/>
      <c r="M420" s="567"/>
      <c r="N420" s="567"/>
      <c r="O420" s="567"/>
      <c r="R420" s="567"/>
    </row>
    <row r="421" spans="1:10" ht="13.5" customHeight="1" hidden="1">
      <c r="A421" s="189"/>
      <c r="B421" s="186"/>
      <c r="C421" s="598"/>
      <c r="D421" s="217"/>
      <c r="E421" s="593"/>
      <c r="F421" s="593"/>
      <c r="G421" s="594"/>
      <c r="I421" s="595"/>
      <c r="J421" s="328"/>
    </row>
    <row r="422" spans="1:10" ht="13.5" customHeight="1" hidden="1">
      <c r="A422" s="184"/>
      <c r="B422" s="186"/>
      <c r="C422" s="598"/>
      <c r="D422" s="217"/>
      <c r="E422" s="593"/>
      <c r="F422" s="593"/>
      <c r="G422" s="594"/>
      <c r="I422" s="595"/>
      <c r="J422" s="328"/>
    </row>
    <row r="423" spans="1:10" ht="13.5" customHeight="1" hidden="1">
      <c r="A423" s="184"/>
      <c r="B423" s="186"/>
      <c r="C423" s="598"/>
      <c r="D423" s="217"/>
      <c r="E423" s="593"/>
      <c r="F423" s="593"/>
      <c r="G423" s="594"/>
      <c r="I423" s="595"/>
      <c r="J423" s="328"/>
    </row>
    <row r="424" spans="1:11" s="191" customFormat="1" ht="12.75" customHeight="1" hidden="1">
      <c r="A424" s="189"/>
      <c r="B424" s="190"/>
      <c r="C424" s="598"/>
      <c r="D424" s="217"/>
      <c r="E424" s="593"/>
      <c r="F424" s="593"/>
      <c r="G424" s="594"/>
      <c r="H424" s="3"/>
      <c r="I424" s="595"/>
      <c r="J424" s="328"/>
      <c r="K424" s="173"/>
    </row>
    <row r="425" spans="1:10" ht="17.25" customHeight="1" hidden="1">
      <c r="A425" s="184"/>
      <c r="B425" s="186"/>
      <c r="C425" s="598"/>
      <c r="D425" s="217"/>
      <c r="E425" s="593"/>
      <c r="F425" s="593"/>
      <c r="G425" s="594"/>
      <c r="I425" s="595"/>
      <c r="J425" s="328"/>
    </row>
    <row r="426" spans="1:10" ht="27.75" customHeight="1" hidden="1">
      <c r="A426" s="189"/>
      <c r="B426" s="186"/>
      <c r="C426" s="598"/>
      <c r="D426" s="217"/>
      <c r="E426" s="593"/>
      <c r="F426" s="593"/>
      <c r="G426" s="594"/>
      <c r="I426" s="595"/>
      <c r="J426" s="328"/>
    </row>
    <row r="427" spans="1:10" ht="15.75" hidden="1" thickBot="1">
      <c r="A427" s="182"/>
      <c r="B427" s="186"/>
      <c r="C427" s="598"/>
      <c r="D427" s="217"/>
      <c r="E427" s="593"/>
      <c r="F427" s="593"/>
      <c r="G427" s="594"/>
      <c r="I427" s="595"/>
      <c r="J427" s="328"/>
    </row>
    <row r="428" spans="1:10" ht="21" customHeight="1" hidden="1" thickBot="1">
      <c r="A428" s="180"/>
      <c r="B428" s="181"/>
      <c r="C428" s="596"/>
      <c r="D428" s="181"/>
      <c r="E428" s="500"/>
      <c r="F428" s="500"/>
      <c r="G428" s="596"/>
      <c r="I428" s="597"/>
      <c r="J428" s="327"/>
    </row>
    <row r="429" spans="1:10" ht="17.25" customHeight="1" hidden="1" thickBot="1">
      <c r="A429" s="825"/>
      <c r="B429" s="826"/>
      <c r="C429" s="826"/>
      <c r="D429" s="826"/>
      <c r="E429" s="826"/>
      <c r="F429" s="826"/>
      <c r="G429" s="826"/>
      <c r="H429" s="827"/>
      <c r="I429" s="412"/>
      <c r="J429" s="335"/>
    </row>
    <row r="430" spans="1:10" ht="13.5" customHeight="1" hidden="1">
      <c r="A430" s="184"/>
      <c r="B430" s="186"/>
      <c r="C430" s="598"/>
      <c r="D430" s="217"/>
      <c r="E430" s="593"/>
      <c r="F430" s="593"/>
      <c r="G430" s="594"/>
      <c r="I430" s="595"/>
      <c r="J430" s="328"/>
    </row>
    <row r="431" spans="1:15" s="196" customFormat="1" ht="42" customHeight="1" hidden="1">
      <c r="A431" s="565"/>
      <c r="B431" s="195"/>
      <c r="C431" s="602"/>
      <c r="D431" s="218"/>
      <c r="E431" s="593"/>
      <c r="F431" s="593"/>
      <c r="G431" s="593"/>
      <c r="H431" s="3"/>
      <c r="I431" s="603"/>
      <c r="J431" s="328"/>
      <c r="K431" s="173"/>
      <c r="M431" s="197"/>
      <c r="N431" s="197"/>
      <c r="O431" s="197"/>
    </row>
    <row r="432" spans="1:15" s="196" customFormat="1" ht="31.5" customHeight="1" hidden="1">
      <c r="A432" s="565"/>
      <c r="B432" s="195"/>
      <c r="C432" s="602"/>
      <c r="D432" s="218"/>
      <c r="E432" s="593"/>
      <c r="F432" s="593"/>
      <c r="G432" s="593"/>
      <c r="H432" s="3"/>
      <c r="I432" s="603"/>
      <c r="J432" s="328"/>
      <c r="K432" s="173"/>
      <c r="M432" s="197"/>
      <c r="N432" s="197"/>
      <c r="O432" s="197"/>
    </row>
    <row r="433" spans="1:15" s="196" customFormat="1" ht="33" customHeight="1" hidden="1">
      <c r="A433" s="565"/>
      <c r="B433" s="195"/>
      <c r="C433" s="602"/>
      <c r="D433" s="218"/>
      <c r="E433" s="593"/>
      <c r="F433" s="593"/>
      <c r="G433" s="593"/>
      <c r="H433" s="3"/>
      <c r="I433" s="603"/>
      <c r="J433" s="328"/>
      <c r="K433" s="173"/>
      <c r="M433" s="197"/>
      <c r="N433" s="197"/>
      <c r="O433" s="197"/>
    </row>
    <row r="434" spans="1:10" ht="19.5" customHeight="1" hidden="1">
      <c r="A434" s="178"/>
      <c r="B434" s="186"/>
      <c r="C434" s="598"/>
      <c r="D434" s="217"/>
      <c r="E434" s="593"/>
      <c r="F434" s="593"/>
      <c r="G434" s="594"/>
      <c r="I434" s="595"/>
      <c r="J434" s="328"/>
    </row>
    <row r="435" spans="1:18" s="568" customFormat="1" ht="15.75" hidden="1" thickBot="1">
      <c r="A435" s="565"/>
      <c r="B435" s="195"/>
      <c r="C435" s="602"/>
      <c r="D435" s="218"/>
      <c r="E435" s="593"/>
      <c r="F435" s="593"/>
      <c r="G435" s="593"/>
      <c r="H435" s="3"/>
      <c r="I435" s="603"/>
      <c r="J435" s="328"/>
      <c r="K435" s="173"/>
      <c r="L435" s="608"/>
      <c r="M435" s="567"/>
      <c r="N435" s="567"/>
      <c r="O435" s="567"/>
      <c r="R435" s="567"/>
    </row>
    <row r="436" spans="1:18" s="568" customFormat="1" ht="15.75" hidden="1" thickBot="1">
      <c r="A436" s="565"/>
      <c r="B436" s="195"/>
      <c r="C436" s="602"/>
      <c r="D436" s="218"/>
      <c r="E436" s="593"/>
      <c r="F436" s="593"/>
      <c r="G436" s="593"/>
      <c r="H436" s="3"/>
      <c r="I436" s="603"/>
      <c r="J436" s="328"/>
      <c r="K436" s="173"/>
      <c r="L436" s="608"/>
      <c r="M436" s="567"/>
      <c r="N436" s="567"/>
      <c r="O436" s="567"/>
      <c r="R436" s="567"/>
    </row>
    <row r="437" spans="1:18" s="568" customFormat="1" ht="15.75" hidden="1" thickBot="1">
      <c r="A437" s="565"/>
      <c r="B437" s="195"/>
      <c r="C437" s="602"/>
      <c r="D437" s="218"/>
      <c r="E437" s="593"/>
      <c r="F437" s="593"/>
      <c r="G437" s="593"/>
      <c r="H437" s="3"/>
      <c r="I437" s="603"/>
      <c r="J437" s="328"/>
      <c r="K437" s="173"/>
      <c r="L437" s="608"/>
      <c r="M437" s="567"/>
      <c r="N437" s="567"/>
      <c r="O437" s="567"/>
      <c r="R437" s="567"/>
    </row>
    <row r="438" spans="1:18" s="568" customFormat="1" ht="15.75" hidden="1" thickBot="1">
      <c r="A438" s="565"/>
      <c r="B438" s="195"/>
      <c r="C438" s="602"/>
      <c r="D438" s="218"/>
      <c r="E438" s="593"/>
      <c r="F438" s="593"/>
      <c r="G438" s="593"/>
      <c r="H438" s="3"/>
      <c r="I438" s="603"/>
      <c r="J438" s="328"/>
      <c r="K438" s="173"/>
      <c r="L438" s="608"/>
      <c r="M438" s="567"/>
      <c r="N438" s="567"/>
      <c r="O438" s="567"/>
      <c r="R438" s="567"/>
    </row>
    <row r="439" spans="1:10" ht="15.75" customHeight="1" hidden="1">
      <c r="A439" s="184"/>
      <c r="B439" s="186"/>
      <c r="C439" s="598"/>
      <c r="D439" s="217"/>
      <c r="E439" s="593"/>
      <c r="F439" s="593"/>
      <c r="G439" s="594"/>
      <c r="I439" s="595"/>
      <c r="J439" s="328"/>
    </row>
    <row r="440" spans="1:10" ht="13.5" customHeight="1" hidden="1">
      <c r="A440" s="184"/>
      <c r="B440" s="186"/>
      <c r="C440" s="598"/>
      <c r="D440" s="217"/>
      <c r="E440" s="593"/>
      <c r="F440" s="593"/>
      <c r="G440" s="594"/>
      <c r="I440" s="595"/>
      <c r="J440" s="328"/>
    </row>
    <row r="441" spans="1:10" ht="13.5" customHeight="1" hidden="1">
      <c r="A441" s="184"/>
      <c r="B441" s="186"/>
      <c r="C441" s="598"/>
      <c r="D441" s="217"/>
      <c r="E441" s="593"/>
      <c r="F441" s="593"/>
      <c r="G441" s="594"/>
      <c r="I441" s="595"/>
      <c r="J441" s="328"/>
    </row>
    <row r="442" spans="1:10" ht="13.5" customHeight="1" hidden="1">
      <c r="A442" s="184"/>
      <c r="B442" s="186"/>
      <c r="C442" s="598"/>
      <c r="D442" s="217"/>
      <c r="E442" s="593"/>
      <c r="F442" s="593"/>
      <c r="G442" s="594"/>
      <c r="I442" s="595"/>
      <c r="J442" s="328"/>
    </row>
    <row r="443" spans="1:10" ht="13.5" customHeight="1" hidden="1">
      <c r="A443" s="184"/>
      <c r="B443" s="186"/>
      <c r="C443" s="598"/>
      <c r="D443" s="217"/>
      <c r="E443" s="593"/>
      <c r="F443" s="593"/>
      <c r="G443" s="594"/>
      <c r="I443" s="595"/>
      <c r="J443" s="328"/>
    </row>
    <row r="444" spans="1:10" ht="14.25" customHeight="1" hidden="1">
      <c r="A444" s="184"/>
      <c r="B444" s="186"/>
      <c r="C444" s="598"/>
      <c r="D444" s="217"/>
      <c r="E444" s="593"/>
      <c r="F444" s="593"/>
      <c r="G444" s="594"/>
      <c r="I444" s="595"/>
      <c r="J444" s="328"/>
    </row>
    <row r="445" spans="1:10" ht="13.5" customHeight="1" hidden="1">
      <c r="A445" s="182"/>
      <c r="B445" s="186"/>
      <c r="C445" s="592"/>
      <c r="D445" s="222"/>
      <c r="E445" s="593"/>
      <c r="F445" s="593"/>
      <c r="G445" s="594"/>
      <c r="I445" s="595"/>
      <c r="J445" s="328"/>
    </row>
    <row r="446" spans="1:10" ht="13.5" customHeight="1" hidden="1">
      <c r="A446" s="184"/>
      <c r="B446" s="186"/>
      <c r="C446" s="598"/>
      <c r="D446" s="217"/>
      <c r="E446" s="593"/>
      <c r="F446" s="593"/>
      <c r="G446" s="594"/>
      <c r="I446" s="595"/>
      <c r="J446" s="328"/>
    </row>
    <row r="447" spans="1:10" ht="14.25" customHeight="1" hidden="1">
      <c r="A447" s="184"/>
      <c r="B447" s="186"/>
      <c r="C447" s="598"/>
      <c r="D447" s="217"/>
      <c r="E447" s="593"/>
      <c r="F447" s="593"/>
      <c r="G447" s="594"/>
      <c r="I447" s="595"/>
      <c r="J447" s="328"/>
    </row>
    <row r="448" spans="1:10" ht="18.75" customHeight="1" hidden="1">
      <c r="A448" s="184"/>
      <c r="B448" s="186"/>
      <c r="C448" s="598"/>
      <c r="D448" s="217"/>
      <c r="E448" s="593"/>
      <c r="F448" s="593"/>
      <c r="G448" s="594"/>
      <c r="I448" s="595"/>
      <c r="J448" s="328"/>
    </row>
    <row r="449" spans="1:10" ht="15.75" hidden="1" thickBot="1">
      <c r="A449" s="184"/>
      <c r="B449" s="186"/>
      <c r="C449" s="598"/>
      <c r="D449" s="217"/>
      <c r="E449" s="593"/>
      <c r="F449" s="593"/>
      <c r="G449" s="594"/>
      <c r="I449" s="595"/>
      <c r="J449" s="328"/>
    </row>
    <row r="450" spans="1:10" ht="20.25" customHeight="1" hidden="1" thickBot="1">
      <c r="A450" s="180"/>
      <c r="B450" s="181"/>
      <c r="C450" s="596"/>
      <c r="D450" s="181"/>
      <c r="E450" s="500"/>
      <c r="F450" s="500"/>
      <c r="G450" s="596"/>
      <c r="I450" s="597"/>
      <c r="J450" s="327"/>
    </row>
    <row r="451" spans="1:10" ht="18.75" customHeight="1" hidden="1" thickBot="1">
      <c r="A451" s="825"/>
      <c r="B451" s="826"/>
      <c r="C451" s="826"/>
      <c r="D451" s="826"/>
      <c r="E451" s="826"/>
      <c r="F451" s="826"/>
      <c r="G451" s="826"/>
      <c r="H451" s="827"/>
      <c r="I451" s="412"/>
      <c r="J451" s="335"/>
    </row>
    <row r="452" spans="1:10" ht="20.25" customHeight="1" hidden="1">
      <c r="A452" s="184"/>
      <c r="B452" s="186"/>
      <c r="C452" s="598"/>
      <c r="D452" s="217"/>
      <c r="E452" s="593"/>
      <c r="F452" s="593"/>
      <c r="G452" s="594"/>
      <c r="I452" s="595"/>
      <c r="J452" s="328"/>
    </row>
    <row r="453" spans="1:15" s="196" customFormat="1" ht="45" customHeight="1" hidden="1">
      <c r="A453" s="565"/>
      <c r="B453" s="195"/>
      <c r="C453" s="602"/>
      <c r="D453" s="218"/>
      <c r="E453" s="593"/>
      <c r="F453" s="593"/>
      <c r="G453" s="593"/>
      <c r="H453" s="3"/>
      <c r="I453" s="603"/>
      <c r="J453" s="328"/>
      <c r="K453" s="173"/>
      <c r="M453" s="197"/>
      <c r="N453" s="197"/>
      <c r="O453" s="197"/>
    </row>
    <row r="454" spans="1:15" s="196" customFormat="1" ht="29.25" customHeight="1" hidden="1">
      <c r="A454" s="565"/>
      <c r="B454" s="195"/>
      <c r="C454" s="602"/>
      <c r="D454" s="218"/>
      <c r="E454" s="593"/>
      <c r="F454" s="593"/>
      <c r="G454" s="593"/>
      <c r="H454" s="3"/>
      <c r="I454" s="603"/>
      <c r="J454" s="328"/>
      <c r="K454" s="173"/>
      <c r="M454" s="197"/>
      <c r="N454" s="197"/>
      <c r="O454" s="197"/>
    </row>
    <row r="455" spans="1:15" s="196" customFormat="1" ht="29.25" customHeight="1" hidden="1">
      <c r="A455" s="565"/>
      <c r="B455" s="195"/>
      <c r="C455" s="602"/>
      <c r="D455" s="218"/>
      <c r="E455" s="593"/>
      <c r="F455" s="593"/>
      <c r="G455" s="593"/>
      <c r="H455" s="3"/>
      <c r="I455" s="603"/>
      <c r="J455" s="328"/>
      <c r="K455" s="173"/>
      <c r="M455" s="197"/>
      <c r="N455" s="197"/>
      <c r="O455" s="197"/>
    </row>
    <row r="456" spans="1:10" ht="20.25" customHeight="1" hidden="1">
      <c r="A456" s="184"/>
      <c r="B456" s="186"/>
      <c r="C456" s="598"/>
      <c r="D456" s="217"/>
      <c r="E456" s="593"/>
      <c r="F456" s="593"/>
      <c r="G456" s="594"/>
      <c r="I456" s="595"/>
      <c r="J456" s="328"/>
    </row>
    <row r="457" spans="1:18" s="568" customFormat="1" ht="15.75" hidden="1" thickBot="1">
      <c r="A457" s="565"/>
      <c r="B457" s="195"/>
      <c r="C457" s="602"/>
      <c r="D457" s="218"/>
      <c r="E457" s="593"/>
      <c r="F457" s="593"/>
      <c r="G457" s="593"/>
      <c r="H457" s="3"/>
      <c r="I457" s="603"/>
      <c r="J457" s="328"/>
      <c r="K457" s="173"/>
      <c r="L457" s="608"/>
      <c r="M457" s="567"/>
      <c r="N457" s="567"/>
      <c r="O457" s="567"/>
      <c r="R457" s="567"/>
    </row>
    <row r="458" spans="1:18" s="568" customFormat="1" ht="15.75" hidden="1" thickBot="1">
      <c r="A458" s="565"/>
      <c r="B458" s="195"/>
      <c r="C458" s="602"/>
      <c r="D458" s="218"/>
      <c r="E458" s="593"/>
      <c r="F458" s="593"/>
      <c r="G458" s="593"/>
      <c r="H458" s="3"/>
      <c r="I458" s="603"/>
      <c r="J458" s="328"/>
      <c r="K458" s="173"/>
      <c r="L458" s="608"/>
      <c r="M458" s="567"/>
      <c r="N458" s="567"/>
      <c r="O458" s="567"/>
      <c r="R458" s="567"/>
    </row>
    <row r="459" spans="1:18" s="568" customFormat="1" ht="15.75" hidden="1" thickBot="1">
      <c r="A459" s="565"/>
      <c r="B459" s="195"/>
      <c r="C459" s="602"/>
      <c r="D459" s="218"/>
      <c r="E459" s="593"/>
      <c r="F459" s="593"/>
      <c r="G459" s="593"/>
      <c r="H459" s="3"/>
      <c r="I459" s="603"/>
      <c r="J459" s="328"/>
      <c r="K459" s="173"/>
      <c r="L459" s="608"/>
      <c r="M459" s="567"/>
      <c r="N459" s="567"/>
      <c r="O459" s="567"/>
      <c r="R459" s="567"/>
    </row>
    <row r="460" spans="1:18" s="568" customFormat="1" ht="15.75" hidden="1" thickBot="1">
      <c r="A460" s="565"/>
      <c r="B460" s="195"/>
      <c r="C460" s="602"/>
      <c r="D460" s="218"/>
      <c r="E460" s="593"/>
      <c r="F460" s="593"/>
      <c r="G460" s="593"/>
      <c r="H460" s="3"/>
      <c r="I460" s="603"/>
      <c r="J460" s="328"/>
      <c r="K460" s="173"/>
      <c r="L460" s="608"/>
      <c r="M460" s="567"/>
      <c r="N460" s="567"/>
      <c r="O460" s="567"/>
      <c r="R460" s="567"/>
    </row>
    <row r="461" spans="1:10" ht="13.5" customHeight="1" hidden="1">
      <c r="A461" s="184"/>
      <c r="B461" s="186"/>
      <c r="C461" s="598"/>
      <c r="D461" s="217"/>
      <c r="E461" s="593"/>
      <c r="F461" s="593"/>
      <c r="G461" s="594"/>
      <c r="I461" s="595"/>
      <c r="J461" s="328"/>
    </row>
    <row r="462" spans="1:10" ht="13.5" customHeight="1" hidden="1">
      <c r="A462" s="184"/>
      <c r="B462" s="186"/>
      <c r="C462" s="598"/>
      <c r="D462" s="217"/>
      <c r="E462" s="593"/>
      <c r="F462" s="593"/>
      <c r="G462" s="594"/>
      <c r="I462" s="595"/>
      <c r="J462" s="328"/>
    </row>
    <row r="463" spans="1:10" ht="13.5" customHeight="1" hidden="1">
      <c r="A463" s="184"/>
      <c r="B463" s="186"/>
      <c r="C463" s="598"/>
      <c r="D463" s="217"/>
      <c r="E463" s="593"/>
      <c r="F463" s="593"/>
      <c r="G463" s="594"/>
      <c r="I463" s="595"/>
      <c r="J463" s="328"/>
    </row>
    <row r="464" spans="1:10" ht="13.5" customHeight="1" hidden="1">
      <c r="A464" s="184"/>
      <c r="B464" s="186"/>
      <c r="C464" s="598"/>
      <c r="D464" s="217"/>
      <c r="E464" s="593"/>
      <c r="F464" s="593"/>
      <c r="G464" s="594"/>
      <c r="I464" s="595"/>
      <c r="J464" s="328"/>
    </row>
    <row r="465" spans="1:10" ht="13.5" customHeight="1" hidden="1">
      <c r="A465" s="184"/>
      <c r="B465" s="186"/>
      <c r="C465" s="598"/>
      <c r="D465" s="217"/>
      <c r="E465" s="593"/>
      <c r="F465" s="593"/>
      <c r="G465" s="594"/>
      <c r="I465" s="595"/>
      <c r="J465" s="328"/>
    </row>
    <row r="466" spans="1:10" ht="15" customHeight="1" hidden="1">
      <c r="A466" s="184"/>
      <c r="B466" s="186"/>
      <c r="C466" s="598"/>
      <c r="D466" s="217"/>
      <c r="E466" s="593"/>
      <c r="F466" s="593"/>
      <c r="G466" s="594"/>
      <c r="I466" s="595"/>
      <c r="J466" s="328"/>
    </row>
    <row r="467" spans="1:10" ht="16.5" customHeight="1" hidden="1">
      <c r="A467" s="184"/>
      <c r="B467" s="186"/>
      <c r="C467" s="598"/>
      <c r="D467" s="217"/>
      <c r="E467" s="593"/>
      <c r="F467" s="593"/>
      <c r="G467" s="594"/>
      <c r="I467" s="595"/>
      <c r="J467" s="328"/>
    </row>
    <row r="468" spans="1:10" ht="29.25" customHeight="1" hidden="1">
      <c r="A468" s="182"/>
      <c r="B468" s="186"/>
      <c r="C468" s="592"/>
      <c r="D468" s="222"/>
      <c r="E468" s="593"/>
      <c r="F468" s="593"/>
      <c r="G468" s="594"/>
      <c r="I468" s="595"/>
      <c r="J468" s="328"/>
    </row>
    <row r="469" spans="1:10" ht="15.75" hidden="1" thickBot="1">
      <c r="A469" s="192"/>
      <c r="B469" s="186"/>
      <c r="C469" s="598"/>
      <c r="D469" s="217"/>
      <c r="E469" s="593"/>
      <c r="F469" s="593"/>
      <c r="G469" s="594"/>
      <c r="I469" s="595"/>
      <c r="J469" s="328"/>
    </row>
    <row r="470" spans="1:10" ht="24" customHeight="1" hidden="1" thickBot="1">
      <c r="A470" s="180"/>
      <c r="B470" s="181"/>
      <c r="C470" s="596"/>
      <c r="D470" s="181"/>
      <c r="E470" s="500"/>
      <c r="F470" s="500"/>
      <c r="G470" s="596"/>
      <c r="I470" s="597"/>
      <c r="J470" s="327"/>
    </row>
    <row r="471" spans="1:10" ht="18" customHeight="1" hidden="1" thickBot="1">
      <c r="A471" s="825"/>
      <c r="B471" s="826"/>
      <c r="C471" s="826"/>
      <c r="D471" s="826"/>
      <c r="E471" s="826"/>
      <c r="F471" s="826"/>
      <c r="G471" s="826"/>
      <c r="H471" s="827"/>
      <c r="I471" s="412"/>
      <c r="J471" s="335"/>
    </row>
    <row r="472" spans="1:10" ht="13.5" customHeight="1" hidden="1">
      <c r="A472" s="184"/>
      <c r="B472" s="186"/>
      <c r="C472" s="615"/>
      <c r="D472" s="522"/>
      <c r="E472" s="616"/>
      <c r="F472" s="616"/>
      <c r="G472" s="617"/>
      <c r="I472" s="618"/>
      <c r="J472" s="331"/>
    </row>
    <row r="473" spans="1:15" s="196" customFormat="1" ht="46.5" customHeight="1" hidden="1">
      <c r="A473" s="565"/>
      <c r="B473" s="195"/>
      <c r="C473" s="602"/>
      <c r="D473" s="218"/>
      <c r="E473" s="593"/>
      <c r="F473" s="593"/>
      <c r="G473" s="593"/>
      <c r="H473" s="3"/>
      <c r="I473" s="603"/>
      <c r="J473" s="328"/>
      <c r="K473" s="173"/>
      <c r="M473" s="197"/>
      <c r="N473" s="197"/>
      <c r="O473" s="197"/>
    </row>
    <row r="474" spans="1:15" s="196" customFormat="1" ht="31.5" customHeight="1" hidden="1">
      <c r="A474" s="565"/>
      <c r="B474" s="195"/>
      <c r="C474" s="602"/>
      <c r="D474" s="218"/>
      <c r="E474" s="593"/>
      <c r="F474" s="593"/>
      <c r="G474" s="593"/>
      <c r="H474" s="3"/>
      <c r="I474" s="603"/>
      <c r="J474" s="328"/>
      <c r="K474" s="173"/>
      <c r="M474" s="197"/>
      <c r="N474" s="197"/>
      <c r="O474" s="197"/>
    </row>
    <row r="475" spans="1:15" s="196" customFormat="1" ht="33" customHeight="1" hidden="1">
      <c r="A475" s="565"/>
      <c r="B475" s="195"/>
      <c r="C475" s="602"/>
      <c r="D475" s="218"/>
      <c r="E475" s="593"/>
      <c r="F475" s="593"/>
      <c r="G475" s="593"/>
      <c r="H475" s="3"/>
      <c r="I475" s="603"/>
      <c r="J475" s="328"/>
      <c r="K475" s="173"/>
      <c r="M475" s="197"/>
      <c r="N475" s="197"/>
      <c r="O475" s="197"/>
    </row>
    <row r="476" spans="1:10" ht="16.5" customHeight="1" hidden="1">
      <c r="A476" s="178"/>
      <c r="B476" s="186"/>
      <c r="C476" s="615"/>
      <c r="D476" s="522"/>
      <c r="E476" s="616"/>
      <c r="F476" s="616"/>
      <c r="G476" s="594"/>
      <c r="I476" s="595"/>
      <c r="J476" s="328"/>
    </row>
    <row r="477" spans="1:18" s="568" customFormat="1" ht="15.75" hidden="1" thickBot="1">
      <c r="A477" s="565"/>
      <c r="B477" s="195"/>
      <c r="C477" s="602"/>
      <c r="D477" s="218"/>
      <c r="E477" s="593"/>
      <c r="F477" s="593"/>
      <c r="G477" s="593"/>
      <c r="H477" s="3"/>
      <c r="I477" s="603"/>
      <c r="J477" s="328"/>
      <c r="K477" s="173"/>
      <c r="L477" s="608"/>
      <c r="M477" s="567"/>
      <c r="N477" s="567"/>
      <c r="O477" s="567"/>
      <c r="R477" s="567"/>
    </row>
    <row r="478" spans="1:18" s="568" customFormat="1" ht="15.75" hidden="1" thickBot="1">
      <c r="A478" s="565"/>
      <c r="B478" s="195"/>
      <c r="C478" s="602"/>
      <c r="D478" s="218"/>
      <c r="E478" s="593"/>
      <c r="F478" s="593"/>
      <c r="G478" s="593"/>
      <c r="H478" s="3"/>
      <c r="I478" s="603"/>
      <c r="J478" s="328"/>
      <c r="K478" s="173"/>
      <c r="L478" s="608"/>
      <c r="M478" s="567"/>
      <c r="N478" s="567"/>
      <c r="O478" s="567"/>
      <c r="R478" s="567"/>
    </row>
    <row r="479" spans="1:18" s="568" customFormat="1" ht="15.75" hidden="1" thickBot="1">
      <c r="A479" s="565"/>
      <c r="B479" s="195"/>
      <c r="C479" s="602"/>
      <c r="D479" s="218"/>
      <c r="E479" s="593"/>
      <c r="F479" s="593"/>
      <c r="G479" s="593"/>
      <c r="H479" s="3"/>
      <c r="I479" s="603"/>
      <c r="J479" s="328"/>
      <c r="K479" s="173"/>
      <c r="L479" s="608"/>
      <c r="M479" s="567"/>
      <c r="N479" s="567"/>
      <c r="O479" s="567"/>
      <c r="R479" s="567"/>
    </row>
    <row r="480" spans="1:18" s="568" customFormat="1" ht="15.75" hidden="1" thickBot="1">
      <c r="A480" s="565"/>
      <c r="B480" s="195"/>
      <c r="C480" s="602"/>
      <c r="D480" s="218"/>
      <c r="E480" s="593"/>
      <c r="F480" s="593"/>
      <c r="G480" s="593"/>
      <c r="H480" s="3"/>
      <c r="I480" s="603"/>
      <c r="J480" s="328"/>
      <c r="K480" s="173"/>
      <c r="L480" s="608"/>
      <c r="M480" s="567"/>
      <c r="N480" s="567"/>
      <c r="O480" s="567"/>
      <c r="R480" s="567"/>
    </row>
    <row r="481" spans="1:10" ht="13.5" customHeight="1" hidden="1">
      <c r="A481" s="184"/>
      <c r="B481" s="186"/>
      <c r="C481" s="615"/>
      <c r="D481" s="522"/>
      <c r="E481" s="616"/>
      <c r="F481" s="616"/>
      <c r="G481" s="617"/>
      <c r="I481" s="618"/>
      <c r="J481" s="331"/>
    </row>
    <row r="482" spans="1:10" ht="13.5" customHeight="1" hidden="1">
      <c r="A482" s="178"/>
      <c r="B482" s="186"/>
      <c r="C482" s="615"/>
      <c r="D482" s="522"/>
      <c r="E482" s="616"/>
      <c r="F482" s="616"/>
      <c r="G482" s="617"/>
      <c r="I482" s="618"/>
      <c r="J482" s="331"/>
    </row>
    <row r="483" spans="1:10" ht="15.75" customHeight="1" hidden="1">
      <c r="A483" s="178"/>
      <c r="B483" s="186"/>
      <c r="C483" s="615"/>
      <c r="D483" s="522"/>
      <c r="E483" s="616"/>
      <c r="F483" s="616"/>
      <c r="G483" s="617"/>
      <c r="I483" s="618"/>
      <c r="J483" s="331"/>
    </row>
    <row r="484" spans="1:10" ht="13.5" customHeight="1" hidden="1">
      <c r="A484" s="178"/>
      <c r="B484" s="186"/>
      <c r="C484" s="615"/>
      <c r="D484" s="522"/>
      <c r="E484" s="616"/>
      <c r="F484" s="616"/>
      <c r="G484" s="617"/>
      <c r="I484" s="618"/>
      <c r="J484" s="331"/>
    </row>
    <row r="485" spans="1:10" ht="13.5" customHeight="1" hidden="1">
      <c r="A485" s="178"/>
      <c r="B485" s="186"/>
      <c r="C485" s="615"/>
      <c r="D485" s="522"/>
      <c r="E485" s="616"/>
      <c r="F485" s="616"/>
      <c r="G485" s="617"/>
      <c r="I485" s="618"/>
      <c r="J485" s="331"/>
    </row>
    <row r="486" spans="1:10" ht="13.5" customHeight="1" hidden="1">
      <c r="A486" s="178"/>
      <c r="B486" s="186"/>
      <c r="C486" s="615"/>
      <c r="D486" s="522"/>
      <c r="E486" s="616"/>
      <c r="F486" s="616"/>
      <c r="G486" s="617"/>
      <c r="I486" s="618"/>
      <c r="J486" s="331"/>
    </row>
    <row r="487" spans="1:10" ht="14.25" customHeight="1" hidden="1">
      <c r="A487" s="178"/>
      <c r="B487" s="186"/>
      <c r="C487" s="615"/>
      <c r="D487" s="522"/>
      <c r="E487" s="616"/>
      <c r="F487" s="616"/>
      <c r="G487" s="617"/>
      <c r="I487" s="618"/>
      <c r="J487" s="331"/>
    </row>
    <row r="488" spans="1:10" ht="13.5" customHeight="1" hidden="1">
      <c r="A488" s="176"/>
      <c r="B488" s="186"/>
      <c r="C488" s="598"/>
      <c r="D488" s="217"/>
      <c r="E488" s="593"/>
      <c r="F488" s="593"/>
      <c r="G488" s="617"/>
      <c r="I488" s="618"/>
      <c r="J488" s="331"/>
    </row>
    <row r="489" spans="1:10" ht="13.5" customHeight="1" hidden="1">
      <c r="A489" s="184"/>
      <c r="B489" s="186"/>
      <c r="C489" s="615"/>
      <c r="D489" s="522"/>
      <c r="E489" s="616"/>
      <c r="F489" s="616"/>
      <c r="G489" s="617"/>
      <c r="I489" s="618"/>
      <c r="J489" s="331"/>
    </row>
    <row r="490" spans="1:10" ht="13.5" customHeight="1" hidden="1">
      <c r="A490" s="184"/>
      <c r="B490" s="186"/>
      <c r="C490" s="617"/>
      <c r="D490" s="523"/>
      <c r="E490" s="616"/>
      <c r="F490" s="616"/>
      <c r="G490" s="617"/>
      <c r="I490" s="618"/>
      <c r="J490" s="331"/>
    </row>
    <row r="491" spans="1:10" ht="13.5" customHeight="1" hidden="1">
      <c r="A491" s="178"/>
      <c r="B491" s="186"/>
      <c r="C491" s="617"/>
      <c r="D491" s="523"/>
      <c r="E491" s="616"/>
      <c r="F491" s="616"/>
      <c r="G491" s="617"/>
      <c r="I491" s="618"/>
      <c r="J491" s="331"/>
    </row>
    <row r="492" spans="1:10" ht="13.5" customHeight="1" hidden="1">
      <c r="A492" s="178"/>
      <c r="B492" s="186"/>
      <c r="C492" s="615"/>
      <c r="D492" s="522"/>
      <c r="E492" s="616"/>
      <c r="F492" s="616"/>
      <c r="G492" s="617"/>
      <c r="I492" s="618"/>
      <c r="J492" s="331"/>
    </row>
    <row r="493" spans="1:10" ht="15.75" hidden="1" thickBot="1">
      <c r="A493" s="182"/>
      <c r="B493" s="186"/>
      <c r="C493" s="598"/>
      <c r="D493" s="217"/>
      <c r="E493" s="593"/>
      <c r="F493" s="593"/>
      <c r="G493" s="594"/>
      <c r="I493" s="595"/>
      <c r="J493" s="328"/>
    </row>
    <row r="494" spans="1:10" ht="18" customHeight="1" hidden="1" thickBot="1">
      <c r="A494" s="180"/>
      <c r="B494" s="181"/>
      <c r="C494" s="596"/>
      <c r="D494" s="181"/>
      <c r="E494" s="500"/>
      <c r="F494" s="500"/>
      <c r="G494" s="596"/>
      <c r="I494" s="597"/>
      <c r="J494" s="327"/>
    </row>
    <row r="495" spans="1:10" ht="15.75" customHeight="1" hidden="1" thickBot="1">
      <c r="A495" s="825"/>
      <c r="B495" s="826"/>
      <c r="C495" s="826"/>
      <c r="D495" s="826"/>
      <c r="E495" s="826"/>
      <c r="F495" s="826"/>
      <c r="G495" s="826"/>
      <c r="H495" s="827"/>
      <c r="I495" s="412"/>
      <c r="J495" s="335"/>
    </row>
    <row r="496" spans="1:10" ht="13.5" customHeight="1" hidden="1">
      <c r="A496" s="184"/>
      <c r="B496" s="186"/>
      <c r="C496" s="598"/>
      <c r="D496" s="217"/>
      <c r="E496" s="593"/>
      <c r="F496" s="593"/>
      <c r="G496" s="594"/>
      <c r="I496" s="595"/>
      <c r="J496" s="328"/>
    </row>
    <row r="497" spans="1:15" s="196" customFormat="1" ht="45.75" customHeight="1" hidden="1">
      <c r="A497" s="565"/>
      <c r="B497" s="195"/>
      <c r="C497" s="602"/>
      <c r="D497" s="218"/>
      <c r="E497" s="593"/>
      <c r="F497" s="593"/>
      <c r="G497" s="593"/>
      <c r="H497" s="3"/>
      <c r="I497" s="603"/>
      <c r="J497" s="328"/>
      <c r="K497" s="173"/>
      <c r="M497" s="197"/>
      <c r="N497" s="197"/>
      <c r="O497" s="197"/>
    </row>
    <row r="498" spans="1:15" s="196" customFormat="1" ht="31.5" customHeight="1" hidden="1">
      <c r="A498" s="565"/>
      <c r="B498" s="195"/>
      <c r="C498" s="602"/>
      <c r="D498" s="218"/>
      <c r="E498" s="593"/>
      <c r="F498" s="593"/>
      <c r="G498" s="593"/>
      <c r="H498" s="3"/>
      <c r="I498" s="603"/>
      <c r="J498" s="328"/>
      <c r="K498" s="173"/>
      <c r="M498" s="197"/>
      <c r="N498" s="197"/>
      <c r="O498" s="197"/>
    </row>
    <row r="499" spans="1:15" s="196" customFormat="1" ht="33" customHeight="1" hidden="1">
      <c r="A499" s="565"/>
      <c r="B499" s="195"/>
      <c r="C499" s="602"/>
      <c r="D499" s="218"/>
      <c r="E499" s="593"/>
      <c r="F499" s="593"/>
      <c r="G499" s="593"/>
      <c r="H499" s="3"/>
      <c r="I499" s="603"/>
      <c r="J499" s="328"/>
      <c r="K499" s="173"/>
      <c r="M499" s="197"/>
      <c r="N499" s="197"/>
      <c r="O499" s="197"/>
    </row>
    <row r="500" spans="1:10" ht="13.5" customHeight="1" hidden="1">
      <c r="A500" s="184"/>
      <c r="B500" s="186"/>
      <c r="C500" s="598"/>
      <c r="D500" s="217"/>
      <c r="E500" s="593"/>
      <c r="F500" s="593"/>
      <c r="G500" s="594"/>
      <c r="I500" s="595"/>
      <c r="J500" s="328"/>
    </row>
    <row r="501" spans="1:18" s="568" customFormat="1" ht="15.75" hidden="1" thickBot="1">
      <c r="A501" s="565"/>
      <c r="B501" s="195"/>
      <c r="C501" s="602"/>
      <c r="D501" s="218"/>
      <c r="E501" s="593"/>
      <c r="F501" s="593"/>
      <c r="G501" s="593"/>
      <c r="H501" s="3"/>
      <c r="I501" s="603"/>
      <c r="J501" s="328"/>
      <c r="K501" s="173"/>
      <c r="L501" s="608"/>
      <c r="M501" s="567"/>
      <c r="N501" s="567"/>
      <c r="O501" s="567"/>
      <c r="R501" s="567"/>
    </row>
    <row r="502" spans="1:18" s="568" customFormat="1" ht="15.75" hidden="1" thickBot="1">
      <c r="A502" s="565"/>
      <c r="B502" s="195"/>
      <c r="C502" s="602"/>
      <c r="D502" s="218"/>
      <c r="E502" s="593"/>
      <c r="F502" s="593"/>
      <c r="G502" s="593"/>
      <c r="H502" s="3"/>
      <c r="I502" s="603"/>
      <c r="J502" s="328"/>
      <c r="K502" s="173"/>
      <c r="L502" s="608"/>
      <c r="M502" s="567"/>
      <c r="N502" s="567"/>
      <c r="O502" s="567"/>
      <c r="R502" s="567"/>
    </row>
    <row r="503" spans="1:18" s="568" customFormat="1" ht="15.75" hidden="1" thickBot="1">
      <c r="A503" s="565"/>
      <c r="B503" s="195"/>
      <c r="C503" s="602"/>
      <c r="D503" s="218"/>
      <c r="E503" s="593"/>
      <c r="F503" s="593"/>
      <c r="G503" s="593"/>
      <c r="H503" s="3"/>
      <c r="I503" s="603"/>
      <c r="J503" s="328"/>
      <c r="K503" s="173"/>
      <c r="L503" s="608"/>
      <c r="M503" s="567"/>
      <c r="N503" s="567"/>
      <c r="O503" s="567"/>
      <c r="R503" s="567"/>
    </row>
    <row r="504" spans="1:18" s="568" customFormat="1" ht="15.75" hidden="1" thickBot="1">
      <c r="A504" s="565"/>
      <c r="B504" s="195"/>
      <c r="C504" s="602"/>
      <c r="D504" s="218"/>
      <c r="E504" s="593"/>
      <c r="F504" s="593"/>
      <c r="G504" s="593"/>
      <c r="H504" s="3"/>
      <c r="I504" s="603"/>
      <c r="J504" s="328"/>
      <c r="K504" s="173"/>
      <c r="L504" s="608"/>
      <c r="M504" s="567"/>
      <c r="N504" s="567"/>
      <c r="O504" s="567"/>
      <c r="R504" s="567"/>
    </row>
    <row r="505" spans="1:10" ht="13.5" customHeight="1" hidden="1">
      <c r="A505" s="184"/>
      <c r="B505" s="186"/>
      <c r="C505" s="598"/>
      <c r="D505" s="217"/>
      <c r="E505" s="593"/>
      <c r="F505" s="593"/>
      <c r="G505" s="594"/>
      <c r="I505" s="595"/>
      <c r="J505" s="328"/>
    </row>
    <row r="506" spans="1:10" ht="13.5" customHeight="1" hidden="1">
      <c r="A506" s="184"/>
      <c r="B506" s="186"/>
      <c r="C506" s="598"/>
      <c r="D506" s="217"/>
      <c r="E506" s="593"/>
      <c r="F506" s="593"/>
      <c r="G506" s="594"/>
      <c r="I506" s="595"/>
      <c r="J506" s="328"/>
    </row>
    <row r="507" spans="1:10" ht="13.5" customHeight="1" hidden="1">
      <c r="A507" s="184"/>
      <c r="B507" s="186"/>
      <c r="C507" s="598"/>
      <c r="D507" s="217"/>
      <c r="E507" s="593"/>
      <c r="F507" s="593"/>
      <c r="G507" s="594"/>
      <c r="I507" s="595"/>
      <c r="J507" s="328"/>
    </row>
    <row r="508" spans="1:10" ht="14.25" customHeight="1" hidden="1">
      <c r="A508" s="184"/>
      <c r="B508" s="186"/>
      <c r="C508" s="598"/>
      <c r="D508" s="217"/>
      <c r="E508" s="593"/>
      <c r="F508" s="593"/>
      <c r="G508" s="594"/>
      <c r="I508" s="595"/>
      <c r="J508" s="328"/>
    </row>
    <row r="509" spans="1:11" s="183" customFormat="1" ht="13.5" customHeight="1" hidden="1">
      <c r="A509" s="184"/>
      <c r="B509" s="186"/>
      <c r="C509" s="598"/>
      <c r="D509" s="217"/>
      <c r="E509" s="593"/>
      <c r="F509" s="593"/>
      <c r="G509" s="594"/>
      <c r="H509" s="3"/>
      <c r="I509" s="595"/>
      <c r="J509" s="328"/>
      <c r="K509" s="173"/>
    </row>
    <row r="510" spans="1:10" ht="13.5" customHeight="1" hidden="1">
      <c r="A510" s="184"/>
      <c r="B510" s="186"/>
      <c r="C510" s="598"/>
      <c r="D510" s="217"/>
      <c r="E510" s="593"/>
      <c r="F510" s="593"/>
      <c r="G510" s="594"/>
      <c r="I510" s="595"/>
      <c r="J510" s="328"/>
    </row>
    <row r="511" spans="1:11" s="183" customFormat="1" ht="13.5" customHeight="1" hidden="1">
      <c r="A511" s="184"/>
      <c r="B511" s="186"/>
      <c r="C511" s="598"/>
      <c r="D511" s="217"/>
      <c r="E511" s="593"/>
      <c r="F511" s="593"/>
      <c r="G511" s="594"/>
      <c r="H511" s="3"/>
      <c r="I511" s="595"/>
      <c r="J511" s="328"/>
      <c r="K511" s="173"/>
    </row>
    <row r="512" spans="1:10" ht="13.5" customHeight="1" hidden="1">
      <c r="A512" s="182"/>
      <c r="B512" s="186"/>
      <c r="C512" s="592"/>
      <c r="D512" s="222"/>
      <c r="E512" s="593"/>
      <c r="F512" s="593"/>
      <c r="G512" s="594"/>
      <c r="I512" s="595"/>
      <c r="J512" s="328"/>
    </row>
    <row r="513" spans="1:10" ht="13.5" customHeight="1" hidden="1">
      <c r="A513" s="184"/>
      <c r="B513" s="186"/>
      <c r="C513" s="598"/>
      <c r="D513" s="217"/>
      <c r="E513" s="593"/>
      <c r="F513" s="593"/>
      <c r="G513" s="594"/>
      <c r="I513" s="595"/>
      <c r="J513" s="328"/>
    </row>
    <row r="514" spans="1:10" ht="13.5" customHeight="1" hidden="1">
      <c r="A514" s="184"/>
      <c r="B514" s="186"/>
      <c r="C514" s="598"/>
      <c r="D514" s="217"/>
      <c r="E514" s="593"/>
      <c r="F514" s="593"/>
      <c r="G514" s="594"/>
      <c r="I514" s="595"/>
      <c r="J514" s="328"/>
    </row>
    <row r="515" spans="1:10" ht="16.5" customHeight="1" hidden="1">
      <c r="A515" s="184"/>
      <c r="B515" s="186"/>
      <c r="C515" s="598"/>
      <c r="D515" s="217"/>
      <c r="E515" s="593"/>
      <c r="F515" s="593"/>
      <c r="G515" s="594"/>
      <c r="I515" s="595"/>
      <c r="J515" s="328"/>
    </row>
    <row r="516" spans="1:10" ht="15.75" hidden="1" thickBot="1">
      <c r="A516" s="184"/>
      <c r="B516" s="186"/>
      <c r="C516" s="598"/>
      <c r="D516" s="217"/>
      <c r="E516" s="593"/>
      <c r="F516" s="593"/>
      <c r="G516" s="594"/>
      <c r="I516" s="595"/>
      <c r="J516" s="328"/>
    </row>
    <row r="517" spans="1:12" ht="19.5" customHeight="1" hidden="1" thickBot="1">
      <c r="A517" s="180"/>
      <c r="B517" s="181"/>
      <c r="C517" s="596"/>
      <c r="D517" s="181"/>
      <c r="E517" s="500"/>
      <c r="F517" s="500"/>
      <c r="G517" s="596"/>
      <c r="I517" s="597"/>
      <c r="J517" s="327"/>
      <c r="L517" s="179"/>
    </row>
    <row r="518" spans="1:15" ht="18.75" customHeight="1">
      <c r="A518" s="838" t="s">
        <v>541</v>
      </c>
      <c r="B518" s="839"/>
      <c r="C518" s="839"/>
      <c r="D518" s="839"/>
      <c r="E518" s="839"/>
      <c r="F518" s="839"/>
      <c r="G518" s="839"/>
      <c r="H518" s="839"/>
      <c r="I518" s="839"/>
      <c r="J518" s="840"/>
      <c r="K518" s="174"/>
      <c r="L518" s="174"/>
      <c r="M518" s="174"/>
      <c r="N518" s="174"/>
      <c r="O518" s="174"/>
    </row>
    <row r="519" spans="1:10" ht="18.75" customHeight="1" thickBot="1">
      <c r="A519" s="193" t="s">
        <v>40</v>
      </c>
      <c r="B519" s="649">
        <f>ROUND(C519+G519+D519+H519*2.9+I519*2.9+J519,0)</f>
        <v>3089</v>
      </c>
      <c r="C519" s="535">
        <v>0</v>
      </c>
      <c r="D519" s="554">
        <f>189+51</f>
        <v>240</v>
      </c>
      <c r="E519" s="535">
        <v>0</v>
      </c>
      <c r="F519" s="535">
        <v>0</v>
      </c>
      <c r="G519" s="650">
        <f>164+46</f>
        <v>210</v>
      </c>
      <c r="H519" s="650">
        <f>712+198</f>
        <v>910</v>
      </c>
      <c r="I519" s="508">
        <v>0</v>
      </c>
      <c r="J519" s="452">
        <v>0</v>
      </c>
    </row>
    <row r="520" spans="1:10" ht="18.75" customHeight="1" thickBot="1">
      <c r="A520" s="180" t="s">
        <v>6</v>
      </c>
      <c r="B520" s="539">
        <f>B519</f>
        <v>3089</v>
      </c>
      <c r="C520" s="548">
        <f aca="true" t="shared" si="38" ref="C520:H520">SUM(C519:C519)</f>
        <v>0</v>
      </c>
      <c r="D520" s="540">
        <f t="shared" si="38"/>
        <v>240</v>
      </c>
      <c r="E520" s="652">
        <f t="shared" si="38"/>
        <v>0</v>
      </c>
      <c r="F520" s="652">
        <f t="shared" si="38"/>
        <v>0</v>
      </c>
      <c r="G520" s="652">
        <f t="shared" si="38"/>
        <v>210</v>
      </c>
      <c r="H520" s="652">
        <f t="shared" si="38"/>
        <v>910</v>
      </c>
      <c r="I520" s="509">
        <v>0</v>
      </c>
      <c r="J520" s="334">
        <f>SUM(J519:J519)</f>
        <v>0</v>
      </c>
    </row>
    <row r="521" spans="1:15" ht="18" customHeight="1">
      <c r="A521" s="838" t="s">
        <v>542</v>
      </c>
      <c r="B521" s="839"/>
      <c r="C521" s="839"/>
      <c r="D521" s="839"/>
      <c r="E521" s="839"/>
      <c r="F521" s="839"/>
      <c r="G521" s="839"/>
      <c r="H521" s="839"/>
      <c r="I521" s="839"/>
      <c r="J521" s="840"/>
      <c r="L521" s="174"/>
      <c r="M521" s="174"/>
      <c r="N521" s="174"/>
      <c r="O521" s="174"/>
    </row>
    <row r="522" spans="1:10" ht="21" customHeight="1" thickBot="1">
      <c r="A522" s="193" t="s">
        <v>40</v>
      </c>
      <c r="B522" s="649">
        <f>ROUND(C522+G522+D522+H522*2.9+I522*2.9+J522,0)</f>
        <v>1978</v>
      </c>
      <c r="C522" s="535">
        <v>0</v>
      </c>
      <c r="D522" s="554">
        <v>945</v>
      </c>
      <c r="E522" s="535">
        <v>0</v>
      </c>
      <c r="F522" s="535">
        <v>0</v>
      </c>
      <c r="G522" s="650">
        <v>82</v>
      </c>
      <c r="H522" s="650">
        <v>328</v>
      </c>
      <c r="I522" s="536">
        <v>0</v>
      </c>
      <c r="J522" s="651">
        <v>0</v>
      </c>
    </row>
    <row r="523" spans="1:10" ht="19.5" customHeight="1" thickBot="1">
      <c r="A523" s="180" t="s">
        <v>6</v>
      </c>
      <c r="B523" s="539">
        <f>B522</f>
        <v>1978</v>
      </c>
      <c r="C523" s="548">
        <f aca="true" t="shared" si="39" ref="C523:H523">SUM(C522:C522)</f>
        <v>0</v>
      </c>
      <c r="D523" s="540">
        <f t="shared" si="39"/>
        <v>945</v>
      </c>
      <c r="E523" s="652">
        <f t="shared" si="39"/>
        <v>0</v>
      </c>
      <c r="F523" s="652">
        <f t="shared" si="39"/>
        <v>0</v>
      </c>
      <c r="G523" s="652">
        <f t="shared" si="39"/>
        <v>82</v>
      </c>
      <c r="H523" s="652">
        <f t="shared" si="39"/>
        <v>328</v>
      </c>
      <c r="I523" s="541">
        <v>0</v>
      </c>
      <c r="J523" s="542">
        <f>SUM(J522:J522)</f>
        <v>0</v>
      </c>
    </row>
    <row r="524" spans="1:10" ht="20.25" customHeight="1">
      <c r="A524" s="838" t="s">
        <v>543</v>
      </c>
      <c r="B524" s="839"/>
      <c r="C524" s="839"/>
      <c r="D524" s="839"/>
      <c r="E524" s="839"/>
      <c r="F524" s="839"/>
      <c r="G524" s="839"/>
      <c r="H524" s="839"/>
      <c r="I524" s="839"/>
      <c r="J524" s="840"/>
    </row>
    <row r="525" spans="1:18" ht="18.75" customHeight="1">
      <c r="A525" s="176" t="s">
        <v>40</v>
      </c>
      <c r="B525" s="399">
        <f>ROUND(C525+D525+G525+H525*2.9+I525*2.9,0)</f>
        <v>13261</v>
      </c>
      <c r="C525" s="587">
        <v>0</v>
      </c>
      <c r="D525" s="550">
        <f>5849+1955</f>
        <v>7804</v>
      </c>
      <c r="E525" s="551">
        <v>0</v>
      </c>
      <c r="F525" s="551">
        <v>0</v>
      </c>
      <c r="G525" s="646">
        <v>260</v>
      </c>
      <c r="H525" s="646">
        <v>1792</v>
      </c>
      <c r="I525" s="551">
        <v>0</v>
      </c>
      <c r="J525" s="553">
        <v>0</v>
      </c>
      <c r="L525" s="174"/>
      <c r="O525" s="174"/>
      <c r="P525" s="174"/>
      <c r="Q525" s="174"/>
      <c r="R525" s="174"/>
    </row>
    <row r="526" spans="1:18" ht="18.75" customHeight="1" thickBot="1">
      <c r="A526" s="193" t="s">
        <v>41</v>
      </c>
      <c r="B526" s="400">
        <f>ROUND(C526+D526+G526+H526*2.9+I526*2.9,0)</f>
        <v>7714</v>
      </c>
      <c r="C526" s="587">
        <v>0</v>
      </c>
      <c r="D526" s="554">
        <v>3759</v>
      </c>
      <c r="E526" s="555">
        <v>0</v>
      </c>
      <c r="F526" s="555">
        <v>0</v>
      </c>
      <c r="G526" s="531">
        <v>185</v>
      </c>
      <c r="H526" s="531">
        <v>1300</v>
      </c>
      <c r="I526" s="555">
        <v>0</v>
      </c>
      <c r="J526" s="538">
        <f>SUM(J525:J525)</f>
        <v>0</v>
      </c>
      <c r="L526" s="174"/>
      <c r="O526" s="174"/>
      <c r="P526" s="174"/>
      <c r="Q526" s="174"/>
      <c r="R526" s="174"/>
    </row>
    <row r="527" spans="1:10" ht="18.75" customHeight="1" thickBot="1">
      <c r="A527" s="180" t="s">
        <v>6</v>
      </c>
      <c r="B527" s="539">
        <f aca="true" t="shared" si="40" ref="B527:J527">SUM(B525:B526)</f>
        <v>20975</v>
      </c>
      <c r="C527" s="540">
        <f t="shared" si="40"/>
        <v>0</v>
      </c>
      <c r="D527" s="540">
        <f t="shared" si="40"/>
        <v>11563</v>
      </c>
      <c r="E527" s="557">
        <f t="shared" si="40"/>
        <v>0</v>
      </c>
      <c r="F527" s="557">
        <f t="shared" si="40"/>
        <v>0</v>
      </c>
      <c r="G527" s="540">
        <f t="shared" si="40"/>
        <v>445</v>
      </c>
      <c r="H527" s="540">
        <f t="shared" si="40"/>
        <v>3092</v>
      </c>
      <c r="I527" s="557">
        <f t="shared" si="40"/>
        <v>0</v>
      </c>
      <c r="J527" s="542">
        <f t="shared" si="40"/>
        <v>0</v>
      </c>
    </row>
    <row r="528" spans="1:12" ht="18.75" customHeight="1">
      <c r="A528" s="838" t="s">
        <v>544</v>
      </c>
      <c r="B528" s="839"/>
      <c r="C528" s="839"/>
      <c r="D528" s="839"/>
      <c r="E528" s="839"/>
      <c r="F528" s="839"/>
      <c r="G528" s="839"/>
      <c r="H528" s="839"/>
      <c r="I528" s="839"/>
      <c r="J528" s="840"/>
      <c r="L528" s="349"/>
    </row>
    <row r="529" spans="1:18" ht="15.75" customHeight="1">
      <c r="A529" s="176" t="s">
        <v>40</v>
      </c>
      <c r="B529" s="399">
        <f>ROUND(C529+G529+D529+H529*2.9+I529*2.9+J529,0)-1</f>
        <v>18507</v>
      </c>
      <c r="C529" s="587">
        <v>0</v>
      </c>
      <c r="D529" s="550">
        <f>8133+2488</f>
        <v>10621</v>
      </c>
      <c r="E529" s="551">
        <v>0</v>
      </c>
      <c r="F529" s="551">
        <v>0</v>
      </c>
      <c r="G529" s="646">
        <v>860</v>
      </c>
      <c r="H529" s="646">
        <v>2423</v>
      </c>
      <c r="I529" s="551">
        <v>0</v>
      </c>
      <c r="J529" s="398">
        <v>0</v>
      </c>
      <c r="L529" s="349"/>
      <c r="O529" s="174"/>
      <c r="P529" s="174"/>
      <c r="Q529" s="174"/>
      <c r="R529" s="174"/>
    </row>
    <row r="530" spans="1:18" ht="15.75" customHeight="1" thickBot="1">
      <c r="A530" s="193" t="s">
        <v>41</v>
      </c>
      <c r="B530" s="400">
        <f>ROUND(C530+G530+D530+H530*2.9+I530*2.9+J530,0)</f>
        <v>9989</v>
      </c>
      <c r="C530" s="587">
        <v>0</v>
      </c>
      <c r="D530" s="554">
        <v>5157</v>
      </c>
      <c r="E530" s="555">
        <v>0</v>
      </c>
      <c r="F530" s="555">
        <v>0</v>
      </c>
      <c r="G530" s="531">
        <v>470</v>
      </c>
      <c r="H530" s="531">
        <v>1504</v>
      </c>
      <c r="I530" s="555">
        <v>0</v>
      </c>
      <c r="J530" s="538">
        <v>0</v>
      </c>
      <c r="L530" s="349"/>
      <c r="O530" s="174"/>
      <c r="P530" s="174"/>
      <c r="Q530" s="174"/>
      <c r="R530" s="174"/>
    </row>
    <row r="531" spans="1:10" ht="15.75" customHeight="1" thickBot="1">
      <c r="A531" s="180" t="s">
        <v>6</v>
      </c>
      <c r="B531" s="539">
        <f aca="true" t="shared" si="41" ref="B531:J531">SUM(B529:B530)</f>
        <v>28496</v>
      </c>
      <c r="C531" s="540">
        <f t="shared" si="41"/>
        <v>0</v>
      </c>
      <c r="D531" s="540">
        <f t="shared" si="41"/>
        <v>15778</v>
      </c>
      <c r="E531" s="557">
        <f t="shared" si="41"/>
        <v>0</v>
      </c>
      <c r="F531" s="557">
        <f t="shared" si="41"/>
        <v>0</v>
      </c>
      <c r="G531" s="540">
        <f t="shared" si="41"/>
        <v>1330</v>
      </c>
      <c r="H531" s="540">
        <f t="shared" si="41"/>
        <v>3927</v>
      </c>
      <c r="I531" s="557">
        <f t="shared" si="41"/>
        <v>0</v>
      </c>
      <c r="J531" s="542">
        <f t="shared" si="41"/>
        <v>0</v>
      </c>
    </row>
    <row r="532" spans="1:12" ht="15" customHeight="1">
      <c r="A532" s="838" t="s">
        <v>545</v>
      </c>
      <c r="B532" s="839"/>
      <c r="C532" s="839"/>
      <c r="D532" s="839"/>
      <c r="E532" s="839"/>
      <c r="F532" s="839"/>
      <c r="G532" s="839"/>
      <c r="H532" s="839"/>
      <c r="I532" s="839"/>
      <c r="J532" s="840"/>
      <c r="L532" s="349"/>
    </row>
    <row r="533" spans="1:12" ht="15.75" customHeight="1">
      <c r="A533" s="182" t="s">
        <v>64</v>
      </c>
      <c r="B533" s="409">
        <f aca="true" t="shared" si="42" ref="B533:B539">ROUND(C533+D533+G533+H533*2.9+I533*2.9,0)</f>
        <v>1223</v>
      </c>
      <c r="C533" s="587">
        <v>0</v>
      </c>
      <c r="D533" s="550">
        <f>159+23</f>
        <v>182</v>
      </c>
      <c r="E533" s="551">
        <v>0</v>
      </c>
      <c r="F533" s="551">
        <v>0</v>
      </c>
      <c r="G533" s="552">
        <v>0</v>
      </c>
      <c r="H533" s="552">
        <v>359</v>
      </c>
      <c r="I533" s="552">
        <v>0</v>
      </c>
      <c r="J533" s="398">
        <v>0</v>
      </c>
      <c r="L533" s="349"/>
    </row>
    <row r="534" spans="1:12" ht="15.75" customHeight="1">
      <c r="A534" s="182" t="s">
        <v>213</v>
      </c>
      <c r="B534" s="409">
        <f t="shared" si="42"/>
        <v>91</v>
      </c>
      <c r="C534" s="587">
        <v>0</v>
      </c>
      <c r="D534" s="518">
        <v>4</v>
      </c>
      <c r="E534" s="551">
        <v>0</v>
      </c>
      <c r="F534" s="551">
        <v>0</v>
      </c>
      <c r="G534" s="552">
        <v>0</v>
      </c>
      <c r="H534" s="552">
        <v>30</v>
      </c>
      <c r="I534" s="552">
        <v>0</v>
      </c>
      <c r="J534" s="553">
        <v>0</v>
      </c>
      <c r="L534" s="349"/>
    </row>
    <row r="535" spans="1:12" ht="15.75" customHeight="1">
      <c r="A535" s="182" t="s">
        <v>1</v>
      </c>
      <c r="B535" s="409">
        <f t="shared" si="42"/>
        <v>394</v>
      </c>
      <c r="C535" s="587">
        <v>0</v>
      </c>
      <c r="D535" s="518">
        <f>170-66</f>
        <v>104</v>
      </c>
      <c r="E535" s="551">
        <v>0</v>
      </c>
      <c r="F535" s="551">
        <v>0</v>
      </c>
      <c r="G535" s="552">
        <v>0</v>
      </c>
      <c r="H535" s="552">
        <v>100</v>
      </c>
      <c r="I535" s="552">
        <v>0</v>
      </c>
      <c r="J535" s="553">
        <v>0</v>
      </c>
      <c r="L535" s="349"/>
    </row>
    <row r="536" spans="1:12" ht="15.75" customHeight="1">
      <c r="A536" s="182" t="s">
        <v>31</v>
      </c>
      <c r="B536" s="409">
        <f t="shared" si="42"/>
        <v>275</v>
      </c>
      <c r="C536" s="587">
        <v>0</v>
      </c>
      <c r="D536" s="518">
        <f>88+42</f>
        <v>130</v>
      </c>
      <c r="E536" s="551">
        <v>0</v>
      </c>
      <c r="F536" s="551">
        <v>0</v>
      </c>
      <c r="G536" s="552">
        <v>0</v>
      </c>
      <c r="H536" s="552">
        <v>50</v>
      </c>
      <c r="I536" s="552">
        <v>0</v>
      </c>
      <c r="J536" s="553">
        <v>0</v>
      </c>
      <c r="L536" s="349"/>
    </row>
    <row r="537" spans="1:12" ht="15.75" customHeight="1">
      <c r="A537" s="182" t="s">
        <v>58</v>
      </c>
      <c r="B537" s="409">
        <f t="shared" si="42"/>
        <v>45</v>
      </c>
      <c r="C537" s="587">
        <v>0</v>
      </c>
      <c r="D537" s="518">
        <v>1</v>
      </c>
      <c r="E537" s="551">
        <v>0</v>
      </c>
      <c r="F537" s="551">
        <v>0</v>
      </c>
      <c r="G537" s="552">
        <v>0</v>
      </c>
      <c r="H537" s="552">
        <v>15</v>
      </c>
      <c r="I537" s="552">
        <v>0</v>
      </c>
      <c r="J537" s="553">
        <v>0</v>
      </c>
      <c r="L537" s="349"/>
    </row>
    <row r="538" spans="1:12" ht="15.75" customHeight="1">
      <c r="A538" s="182" t="s">
        <v>70</v>
      </c>
      <c r="B538" s="409">
        <f t="shared" si="42"/>
        <v>306</v>
      </c>
      <c r="C538" s="587">
        <v>0</v>
      </c>
      <c r="D538" s="550">
        <f>15+1</f>
        <v>16</v>
      </c>
      <c r="E538" s="551">
        <v>0</v>
      </c>
      <c r="F538" s="551">
        <v>0</v>
      </c>
      <c r="G538" s="552">
        <v>0</v>
      </c>
      <c r="H538" s="552">
        <v>100</v>
      </c>
      <c r="I538" s="552">
        <v>0</v>
      </c>
      <c r="J538" s="553">
        <v>0</v>
      </c>
      <c r="L538" s="349"/>
    </row>
    <row r="539" spans="1:18" ht="18.75" customHeight="1" thickBot="1">
      <c r="A539" s="176" t="s">
        <v>40</v>
      </c>
      <c r="B539" s="399">
        <f t="shared" si="42"/>
        <v>14278</v>
      </c>
      <c r="C539" s="587">
        <v>0</v>
      </c>
      <c r="D539" s="550">
        <f>6170+1592</f>
        <v>7762</v>
      </c>
      <c r="E539" s="551">
        <v>0</v>
      </c>
      <c r="F539" s="551">
        <v>0</v>
      </c>
      <c r="G539" s="552">
        <v>0</v>
      </c>
      <c r="H539" s="552">
        <v>2247</v>
      </c>
      <c r="I539" s="552">
        <v>0</v>
      </c>
      <c r="J539" s="553">
        <v>0</v>
      </c>
      <c r="L539" s="349"/>
      <c r="O539" s="174"/>
      <c r="P539" s="174"/>
      <c r="Q539" s="174"/>
      <c r="R539" s="174"/>
    </row>
    <row r="540" spans="1:10" ht="18.75" customHeight="1" thickBot="1">
      <c r="A540" s="180" t="s">
        <v>6</v>
      </c>
      <c r="B540" s="539">
        <f aca="true" t="shared" si="43" ref="B540:J540">SUM(B533:B539)</f>
        <v>16612</v>
      </c>
      <c r="C540" s="540">
        <f t="shared" si="43"/>
        <v>0</v>
      </c>
      <c r="D540" s="540">
        <f t="shared" si="43"/>
        <v>8199</v>
      </c>
      <c r="E540" s="647">
        <f t="shared" si="43"/>
        <v>0</v>
      </c>
      <c r="F540" s="647">
        <f t="shared" si="43"/>
        <v>0</v>
      </c>
      <c r="G540" s="645">
        <f t="shared" si="43"/>
        <v>0</v>
      </c>
      <c r="H540" s="645">
        <f t="shared" si="43"/>
        <v>2901</v>
      </c>
      <c r="I540" s="645">
        <f t="shared" si="43"/>
        <v>0</v>
      </c>
      <c r="J540" s="648">
        <f t="shared" si="43"/>
        <v>0</v>
      </c>
    </row>
    <row r="541" spans="1:12" ht="21.75" customHeight="1">
      <c r="A541" s="838" t="s">
        <v>546</v>
      </c>
      <c r="B541" s="839"/>
      <c r="C541" s="839"/>
      <c r="D541" s="839"/>
      <c r="E541" s="839"/>
      <c r="F541" s="839"/>
      <c r="G541" s="839"/>
      <c r="H541" s="839"/>
      <c r="I541" s="839"/>
      <c r="J541" s="840"/>
      <c r="L541" s="349"/>
    </row>
    <row r="542" spans="1:12" ht="19.5" customHeight="1" thickBot="1">
      <c r="A542" s="318" t="s">
        <v>40</v>
      </c>
      <c r="B542" s="319">
        <f>ROUND(C542+D542+G542+H542*2.9+I542*2.9,0)</f>
        <v>4131</v>
      </c>
      <c r="C542" s="619">
        <v>0</v>
      </c>
      <c r="D542" s="524">
        <v>4131</v>
      </c>
      <c r="E542" s="508">
        <v>0</v>
      </c>
      <c r="F542" s="508">
        <v>0</v>
      </c>
      <c r="G542" s="508">
        <v>0</v>
      </c>
      <c r="H542" s="508">
        <v>0</v>
      </c>
      <c r="I542" s="508">
        <v>0</v>
      </c>
      <c r="J542" s="332">
        <v>0</v>
      </c>
      <c r="L542" s="349"/>
    </row>
    <row r="543" spans="1:12" ht="18.75" customHeight="1" thickBot="1">
      <c r="A543" s="316" t="s">
        <v>6</v>
      </c>
      <c r="B543" s="317">
        <f>SUM(B542:B542)</f>
        <v>4131</v>
      </c>
      <c r="C543" s="596">
        <f>SUM(C542:C542)</f>
        <v>0</v>
      </c>
      <c r="D543" s="525">
        <f>SUM(D542:D542)</f>
        <v>4131</v>
      </c>
      <c r="E543" s="509">
        <v>0</v>
      </c>
      <c r="F543" s="509">
        <v>0</v>
      </c>
      <c r="G543" s="509">
        <v>0</v>
      </c>
      <c r="H543" s="509">
        <v>0</v>
      </c>
      <c r="I543" s="509">
        <v>0</v>
      </c>
      <c r="J543" s="333">
        <f>SUM(J542:J542)</f>
        <v>0</v>
      </c>
      <c r="L543" s="349"/>
    </row>
    <row r="544" spans="1:12" ht="19.5" customHeight="1">
      <c r="A544" s="838" t="s">
        <v>547</v>
      </c>
      <c r="B544" s="839"/>
      <c r="C544" s="839"/>
      <c r="D544" s="839"/>
      <c r="E544" s="839"/>
      <c r="F544" s="839"/>
      <c r="G544" s="839"/>
      <c r="H544" s="839"/>
      <c r="I544" s="839"/>
      <c r="J544" s="840"/>
      <c r="L544" s="349"/>
    </row>
    <row r="545" spans="1:18" ht="13.5" customHeight="1">
      <c r="A545" s="176" t="s">
        <v>40</v>
      </c>
      <c r="B545" s="399">
        <f>ROUND(C545+D545+G545+H545*2.9+I545*2.9,0)</f>
        <v>2048</v>
      </c>
      <c r="C545" s="535">
        <v>0</v>
      </c>
      <c r="D545" s="550">
        <v>893</v>
      </c>
      <c r="E545" s="551">
        <v>0</v>
      </c>
      <c r="F545" s="551">
        <v>0</v>
      </c>
      <c r="G545" s="552">
        <v>56</v>
      </c>
      <c r="H545" s="552">
        <v>379</v>
      </c>
      <c r="I545" s="551">
        <v>0</v>
      </c>
      <c r="J545" s="553">
        <v>0</v>
      </c>
      <c r="L545" s="349"/>
      <c r="O545" s="174"/>
      <c r="P545" s="174"/>
      <c r="Q545" s="174"/>
      <c r="R545" s="174"/>
    </row>
    <row r="546" spans="1:18" ht="21" customHeight="1" thickBot="1">
      <c r="A546" s="193" t="s">
        <v>41</v>
      </c>
      <c r="B546" s="400">
        <f>ROUND(C546+D546+G546+H546*2.9+I546*2.9,0)</f>
        <v>786</v>
      </c>
      <c r="C546" s="535">
        <v>0</v>
      </c>
      <c r="D546" s="554">
        <v>221</v>
      </c>
      <c r="E546" s="555">
        <v>0</v>
      </c>
      <c r="F546" s="555">
        <v>0</v>
      </c>
      <c r="G546" s="556">
        <v>14</v>
      </c>
      <c r="H546" s="556">
        <v>190</v>
      </c>
      <c r="I546" s="555">
        <v>0</v>
      </c>
      <c r="J546" s="538">
        <v>0</v>
      </c>
      <c r="L546" s="349"/>
      <c r="O546" s="174"/>
      <c r="P546" s="174"/>
      <c r="Q546" s="174"/>
      <c r="R546" s="174"/>
    </row>
    <row r="547" spans="1:10" ht="18.75" customHeight="1" thickBot="1">
      <c r="A547" s="180" t="s">
        <v>6</v>
      </c>
      <c r="B547" s="539">
        <f aca="true" t="shared" si="44" ref="B547:J547">SUM(B545:B546)</f>
        <v>2834</v>
      </c>
      <c r="C547" s="540">
        <f t="shared" si="44"/>
        <v>0</v>
      </c>
      <c r="D547" s="540">
        <f t="shared" si="44"/>
        <v>1114</v>
      </c>
      <c r="E547" s="557">
        <f t="shared" si="44"/>
        <v>0</v>
      </c>
      <c r="F547" s="557">
        <f t="shared" si="44"/>
        <v>0</v>
      </c>
      <c r="G547" s="558">
        <f t="shared" si="44"/>
        <v>70</v>
      </c>
      <c r="H547" s="558">
        <f t="shared" si="44"/>
        <v>569</v>
      </c>
      <c r="I547" s="557">
        <f t="shared" si="44"/>
        <v>0</v>
      </c>
      <c r="J547" s="542">
        <f t="shared" si="44"/>
        <v>0</v>
      </c>
    </row>
    <row r="548" spans="1:18" ht="18.75" customHeight="1">
      <c r="A548" s="838" t="s">
        <v>548</v>
      </c>
      <c r="B548" s="839"/>
      <c r="C548" s="839"/>
      <c r="D548" s="839"/>
      <c r="E548" s="839"/>
      <c r="F548" s="839"/>
      <c r="G548" s="839"/>
      <c r="H548" s="839"/>
      <c r="I548" s="839"/>
      <c r="J548" s="840"/>
      <c r="L548" s="349"/>
      <c r="O548" s="174"/>
      <c r="P548" s="174"/>
      <c r="Q548" s="174"/>
      <c r="R548" s="174"/>
    </row>
    <row r="549" spans="1:10" ht="18.75" customHeight="1" thickBot="1">
      <c r="A549" s="318" t="s">
        <v>65</v>
      </c>
      <c r="B549" s="534">
        <f>ROUND(C549+D549+G549+H549*2.9+I549*2.9,0)</f>
        <v>493</v>
      </c>
      <c r="C549" s="535">
        <v>0</v>
      </c>
      <c r="D549" s="536">
        <v>0</v>
      </c>
      <c r="E549" s="536">
        <v>0</v>
      </c>
      <c r="F549" s="536">
        <v>0</v>
      </c>
      <c r="G549" s="536">
        <v>0</v>
      </c>
      <c r="H549" s="536">
        <v>0</v>
      </c>
      <c r="I549" s="537">
        <v>170</v>
      </c>
      <c r="J549" s="332">
        <v>0</v>
      </c>
    </row>
    <row r="550" spans="1:10" ht="20.25" customHeight="1" thickBot="1">
      <c r="A550" s="316" t="s">
        <v>6</v>
      </c>
      <c r="B550" s="539">
        <f>ROUND(C550+D550+G550+H550*2.9+I550*2.9,0)</f>
        <v>493</v>
      </c>
      <c r="C550" s="548">
        <f aca="true" t="shared" si="45" ref="C550:J550">SUM(C549:C549)</f>
        <v>0</v>
      </c>
      <c r="D550" s="541">
        <v>0</v>
      </c>
      <c r="E550" s="541">
        <v>0</v>
      </c>
      <c r="F550" s="541">
        <v>0</v>
      </c>
      <c r="G550" s="541">
        <f t="shared" si="45"/>
        <v>0</v>
      </c>
      <c r="H550" s="541">
        <f t="shared" si="45"/>
        <v>0</v>
      </c>
      <c r="I550" s="549">
        <f t="shared" si="45"/>
        <v>170</v>
      </c>
      <c r="J550" s="333">
        <f t="shared" si="45"/>
        <v>0</v>
      </c>
    </row>
    <row r="551" spans="1:10" ht="18.75" customHeight="1" hidden="1">
      <c r="A551" s="838" t="s">
        <v>540</v>
      </c>
      <c r="B551" s="839"/>
      <c r="C551" s="839"/>
      <c r="D551" s="839"/>
      <c r="E551" s="839"/>
      <c r="F551" s="839"/>
      <c r="G551" s="839"/>
      <c r="H551" s="839"/>
      <c r="I551" s="839"/>
      <c r="J551" s="840"/>
    </row>
    <row r="552" spans="1:10" ht="18.75" customHeight="1" hidden="1" thickBot="1">
      <c r="A552" s="318" t="s">
        <v>423</v>
      </c>
      <c r="B552" s="319">
        <f>ROUND(C552+G552+H552*2.9,0)</f>
        <v>0</v>
      </c>
      <c r="C552" s="620">
        <v>0</v>
      </c>
      <c r="D552" s="524">
        <v>0</v>
      </c>
      <c r="E552" s="621"/>
      <c r="F552" s="621"/>
      <c r="G552" s="622">
        <v>0</v>
      </c>
      <c r="H552" s="3">
        <v>0</v>
      </c>
      <c r="I552" s="622"/>
      <c r="J552" s="332">
        <v>0</v>
      </c>
    </row>
    <row r="553" spans="1:10" ht="18.75" customHeight="1" hidden="1" thickBot="1">
      <c r="A553" s="316" t="s">
        <v>6</v>
      </c>
      <c r="B553" s="317">
        <f>SUM(B552:B552)</f>
        <v>0</v>
      </c>
      <c r="C553" s="623">
        <f>SUM(C552:C552)</f>
        <v>0</v>
      </c>
      <c r="D553" s="525">
        <f>SUM(D552:D552)</f>
        <v>0</v>
      </c>
      <c r="E553" s="501"/>
      <c r="F553" s="501"/>
      <c r="G553" s="623">
        <f>SUM(G552:G552)</f>
        <v>0</v>
      </c>
      <c r="H553" s="3">
        <f>SUM(H552:H552)</f>
        <v>0</v>
      </c>
      <c r="I553" s="624"/>
      <c r="J553" s="333">
        <f>SUM(J552:J552)</f>
        <v>0</v>
      </c>
    </row>
    <row r="554" spans="1:10" ht="18.75" customHeight="1">
      <c r="A554" s="838" t="s">
        <v>549</v>
      </c>
      <c r="B554" s="839"/>
      <c r="C554" s="839"/>
      <c r="D554" s="839"/>
      <c r="E554" s="839"/>
      <c r="F554" s="839"/>
      <c r="G554" s="839"/>
      <c r="H554" s="839"/>
      <c r="I554" s="839"/>
      <c r="J554" s="840"/>
    </row>
    <row r="555" spans="1:17" ht="24" customHeight="1" thickBot="1">
      <c r="A555" s="453" t="s">
        <v>7</v>
      </c>
      <c r="B555" s="534">
        <f>ROUND(C555+D555+G555+H555*2.9+I555*2.9,0)</f>
        <v>35</v>
      </c>
      <c r="C555" s="535">
        <v>0</v>
      </c>
      <c r="D555" s="536">
        <v>0</v>
      </c>
      <c r="E555" s="536">
        <v>0</v>
      </c>
      <c r="F555" s="536">
        <v>0</v>
      </c>
      <c r="G555" s="537">
        <v>0</v>
      </c>
      <c r="H555" s="537">
        <v>12</v>
      </c>
      <c r="I555" s="537">
        <v>0</v>
      </c>
      <c r="J555" s="538">
        <v>0</v>
      </c>
      <c r="K555" s="215">
        <f>L555+M555+N555+O555*2.9+P555*2.9+Q555</f>
        <v>78643.1</v>
      </c>
      <c r="L555" s="475">
        <v>0</v>
      </c>
      <c r="M555" s="475">
        <v>41970</v>
      </c>
      <c r="N555" s="475">
        <v>2137</v>
      </c>
      <c r="O555" s="475">
        <f>11909-170</f>
        <v>11739</v>
      </c>
      <c r="P555" s="475">
        <v>170</v>
      </c>
      <c r="Q555" s="475">
        <v>0</v>
      </c>
    </row>
    <row r="556" spans="1:17" ht="18.75" customHeight="1" thickBot="1">
      <c r="A556" s="180" t="s">
        <v>6</v>
      </c>
      <c r="B556" s="539">
        <f>ROUND(C556+D556+G556+H556*2.9+I556*2.9,0)</f>
        <v>35</v>
      </c>
      <c r="C556" s="540">
        <f>SUM(C555:C555)</f>
        <v>0</v>
      </c>
      <c r="D556" s="541">
        <v>0</v>
      </c>
      <c r="E556" s="541">
        <v>0</v>
      </c>
      <c r="F556" s="541">
        <v>0</v>
      </c>
      <c r="G556" s="540">
        <f>SUM(G555:G555)</f>
        <v>0</v>
      </c>
      <c r="H556" s="625">
        <f>SUM(H555:H555)</f>
        <v>12</v>
      </c>
      <c r="I556" s="541">
        <v>0</v>
      </c>
      <c r="J556" s="542">
        <f>SUM(J555:J555)</f>
        <v>0</v>
      </c>
      <c r="K556" s="475">
        <f>B556+B550+B547+B543+B540+B531+B527+B523+B520</f>
        <v>78643</v>
      </c>
      <c r="L556" s="475">
        <f>C556+C550+C547+C543+C540+C531+C527+C523+C520</f>
        <v>0</v>
      </c>
      <c r="M556" s="475">
        <f>D556+D550+D547+D543+D540+D531+D527+D523+D520</f>
        <v>41970</v>
      </c>
      <c r="N556" s="475">
        <f>G556+G550+G547+G543+G540+G531+G527+G523+G520</f>
        <v>2137</v>
      </c>
      <c r="O556" s="475">
        <f>H556+H550+H547+H543+H540+H531+H527+H523+H520</f>
        <v>11739</v>
      </c>
      <c r="P556" s="475">
        <f>I556+I550+I547+I543+I540+I531+I527+I523+I520</f>
        <v>170</v>
      </c>
      <c r="Q556" s="475">
        <f>J556+J550+J547+J543+J540+J531+J527+J523+J520</f>
        <v>0</v>
      </c>
    </row>
    <row r="557" spans="1:17" ht="31.5" customHeight="1">
      <c r="A557" s="880" t="s">
        <v>550</v>
      </c>
      <c r="B557" s="881"/>
      <c r="C557" s="881"/>
      <c r="D557" s="881"/>
      <c r="E557" s="881"/>
      <c r="F557" s="881"/>
      <c r="G557" s="881"/>
      <c r="H557" s="881"/>
      <c r="I557" s="881"/>
      <c r="J557" s="882"/>
      <c r="K557" s="474">
        <f aca="true" t="shared" si="46" ref="K557:P557">K556-K555</f>
        <v>-0.10000000000582077</v>
      </c>
      <c r="L557" s="474">
        <f t="shared" si="46"/>
        <v>0</v>
      </c>
      <c r="M557" s="474">
        <f t="shared" si="46"/>
        <v>0</v>
      </c>
      <c r="N557" s="474">
        <f t="shared" si="46"/>
        <v>0</v>
      </c>
      <c r="O557" s="474">
        <f t="shared" si="46"/>
        <v>0</v>
      </c>
      <c r="P557" s="474">
        <f t="shared" si="46"/>
        <v>0</v>
      </c>
      <c r="Q557" s="474">
        <f>Q556-Q555</f>
        <v>0</v>
      </c>
    </row>
    <row r="558" spans="1:18" ht="29.25" customHeight="1" thickBot="1">
      <c r="A558" s="318" t="s">
        <v>194</v>
      </c>
      <c r="B558" s="543">
        <f>ROUND(C558+D558+G558+H558*2.9+J558*$L$1+I558*2.9,0)</f>
        <v>15842</v>
      </c>
      <c r="C558" s="535">
        <v>0</v>
      </c>
      <c r="D558" s="544">
        <v>6900</v>
      </c>
      <c r="E558" s="545">
        <v>0</v>
      </c>
      <c r="F558" s="545">
        <v>0</v>
      </c>
      <c r="G558" s="546">
        <v>2133</v>
      </c>
      <c r="H558" s="546">
        <v>2346</v>
      </c>
      <c r="I558" s="546">
        <v>2</v>
      </c>
      <c r="J558" s="547">
        <v>0</v>
      </c>
      <c r="K558" s="215">
        <f>L558+M558+N558+O558*2.9+P558*2.9+Q558</f>
        <v>1252972.6</v>
      </c>
      <c r="L558" s="215">
        <f>C559</f>
        <v>207088</v>
      </c>
      <c r="M558" s="216">
        <v>286312</v>
      </c>
      <c r="N558" s="216">
        <v>70957</v>
      </c>
      <c r="O558" s="216">
        <v>225185</v>
      </c>
      <c r="P558" s="216">
        <v>409</v>
      </c>
      <c r="Q558" s="216">
        <v>34393</v>
      </c>
      <c r="R558" s="174"/>
    </row>
    <row r="559" spans="1:20" ht="43.5" thickBot="1">
      <c r="A559" s="676" t="s">
        <v>13</v>
      </c>
      <c r="B559" s="677">
        <f aca="true" t="shared" si="47" ref="B559:J559">B143+B265+B336+B520+B523+B527+B531+B540+B543+B547+B550+B556+B558</f>
        <v>1252973</v>
      </c>
      <c r="C559" s="677">
        <f t="shared" si="47"/>
        <v>207088</v>
      </c>
      <c r="D559" s="678">
        <f t="shared" si="47"/>
        <v>286312</v>
      </c>
      <c r="E559" s="679">
        <f t="shared" si="47"/>
        <v>11587</v>
      </c>
      <c r="F559" s="679">
        <f t="shared" si="47"/>
        <v>3960</v>
      </c>
      <c r="G559" s="677">
        <f t="shared" si="47"/>
        <v>70957</v>
      </c>
      <c r="H559" s="677">
        <f t="shared" si="47"/>
        <v>225185</v>
      </c>
      <c r="I559" s="680">
        <f t="shared" si="47"/>
        <v>409</v>
      </c>
      <c r="J559" s="681">
        <f t="shared" si="47"/>
        <v>34393</v>
      </c>
      <c r="K559" s="215">
        <f>K558-B559</f>
        <v>-0.39999999990686774</v>
      </c>
      <c r="L559" s="215">
        <f>L558-C559</f>
        <v>0</v>
      </c>
      <c r="M559" s="215">
        <f>M558-D559</f>
        <v>0</v>
      </c>
      <c r="N559" s="215">
        <f>N558-G559</f>
        <v>0</v>
      </c>
      <c r="O559" s="477">
        <f>O558-H559</f>
        <v>0</v>
      </c>
      <c r="P559" s="215">
        <f>P558-I559</f>
        <v>0</v>
      </c>
      <c r="Q559" s="215">
        <f>Q558-J559</f>
        <v>0</v>
      </c>
      <c r="R559" s="174"/>
      <c r="S559" s="174"/>
      <c r="T559" s="174"/>
    </row>
    <row r="560" spans="1:20" s="196" customFormat="1" ht="60.75" customHeight="1">
      <c r="A560" s="454" t="s">
        <v>539</v>
      </c>
      <c r="B560" s="455">
        <f aca="true" t="shared" si="48" ref="B560:B567">ROUND(C560+D560+G560+H560*2.9+I560*2.9,0)</f>
        <v>207088</v>
      </c>
      <c r="C560" s="609">
        <f>C561+C564+C565+C566+C567</f>
        <v>207088</v>
      </c>
      <c r="D560" s="526">
        <f>SUM(D561:D567)-D562-D563</f>
        <v>0</v>
      </c>
      <c r="E560" s="626">
        <f>SUM(E561:E567)-E562-E563</f>
        <v>0</v>
      </c>
      <c r="F560" s="626">
        <f>SUM(F561:F567)-F562-F563</f>
        <v>3960</v>
      </c>
      <c r="G560" s="627">
        <f>SUM(G561:G567)-G562</f>
        <v>0</v>
      </c>
      <c r="H560" s="628">
        <f>SUM(H561:H567)-H562</f>
        <v>0</v>
      </c>
      <c r="I560" s="627"/>
      <c r="J560" s="513">
        <f>SUM(J561:J567)-J562</f>
        <v>0</v>
      </c>
      <c r="K560" s="567">
        <f aca="true" t="shared" si="49" ref="K560:K568">B337+B266+B144</f>
        <v>207088</v>
      </c>
      <c r="L560" s="194">
        <f aca="true" t="shared" si="50" ref="L560:L567">K560-B560</f>
        <v>0</v>
      </c>
      <c r="M560" s="567"/>
      <c r="N560" s="567"/>
      <c r="O560" s="567"/>
      <c r="P560" s="174"/>
      <c r="Q560" s="174"/>
      <c r="R560" s="174"/>
      <c r="S560" s="174"/>
      <c r="T560" s="174"/>
    </row>
    <row r="561" spans="1:20" s="196" customFormat="1" ht="45" customHeight="1">
      <c r="A561" s="565" t="s">
        <v>345</v>
      </c>
      <c r="B561" s="195">
        <f t="shared" si="48"/>
        <v>79581</v>
      </c>
      <c r="C561" s="602">
        <f aca="true" t="shared" si="51" ref="C561:J567">C145+C267+C338</f>
        <v>79581</v>
      </c>
      <c r="D561" s="346">
        <f t="shared" si="51"/>
        <v>0</v>
      </c>
      <c r="E561" s="579">
        <f t="shared" si="51"/>
        <v>0</v>
      </c>
      <c r="F561" s="629">
        <f t="shared" si="51"/>
        <v>3960</v>
      </c>
      <c r="G561" s="579">
        <f t="shared" si="51"/>
        <v>0</v>
      </c>
      <c r="H561" s="346">
        <f t="shared" si="51"/>
        <v>0</v>
      </c>
      <c r="I561" s="579">
        <f t="shared" si="51"/>
        <v>0</v>
      </c>
      <c r="J561" s="325">
        <f t="shared" si="51"/>
        <v>0</v>
      </c>
      <c r="K561" s="567">
        <f t="shared" si="49"/>
        <v>79581</v>
      </c>
      <c r="L561" s="194">
        <f t="shared" si="50"/>
        <v>0</v>
      </c>
      <c r="M561" s="197"/>
      <c r="N561" s="197"/>
      <c r="O561" s="197"/>
      <c r="P561" s="174"/>
      <c r="Q561" s="174"/>
      <c r="R561" s="174"/>
      <c r="S561" s="174"/>
      <c r="T561" s="174"/>
    </row>
    <row r="562" spans="1:20" s="196" customFormat="1" ht="33" customHeight="1">
      <c r="A562" s="565" t="s">
        <v>344</v>
      </c>
      <c r="B562" s="195">
        <f t="shared" si="48"/>
        <v>6670</v>
      </c>
      <c r="C562" s="602">
        <f t="shared" si="51"/>
        <v>6670</v>
      </c>
      <c r="D562" s="346">
        <f t="shared" si="51"/>
        <v>0</v>
      </c>
      <c r="E562" s="579">
        <f t="shared" si="51"/>
        <v>0</v>
      </c>
      <c r="F562" s="579">
        <f t="shared" si="51"/>
        <v>0</v>
      </c>
      <c r="G562" s="579">
        <f t="shared" si="51"/>
        <v>0</v>
      </c>
      <c r="H562" s="346">
        <f t="shared" si="51"/>
        <v>0</v>
      </c>
      <c r="I562" s="579">
        <f t="shared" si="51"/>
        <v>0</v>
      </c>
      <c r="J562" s="325">
        <f t="shared" si="51"/>
        <v>0</v>
      </c>
      <c r="K562" s="567">
        <f t="shared" si="49"/>
        <v>6670</v>
      </c>
      <c r="L562" s="194">
        <f t="shared" si="50"/>
        <v>0</v>
      </c>
      <c r="M562" s="197"/>
      <c r="N562" s="197"/>
      <c r="O562" s="197"/>
      <c r="P562" s="174"/>
      <c r="Q562" s="174"/>
      <c r="R562" s="174"/>
      <c r="S562" s="174"/>
      <c r="T562" s="174"/>
    </row>
    <row r="563" spans="1:20" s="196" customFormat="1" ht="23.25" customHeight="1">
      <c r="A563" s="565" t="s">
        <v>567</v>
      </c>
      <c r="B563" s="195">
        <f t="shared" si="48"/>
        <v>2500</v>
      </c>
      <c r="C563" s="602">
        <f t="shared" si="51"/>
        <v>2500</v>
      </c>
      <c r="D563" s="346">
        <f t="shared" si="51"/>
        <v>0</v>
      </c>
      <c r="E563" s="579">
        <f t="shared" si="51"/>
        <v>0</v>
      </c>
      <c r="F563" s="629">
        <f t="shared" si="51"/>
        <v>3960</v>
      </c>
      <c r="G563" s="579">
        <f t="shared" si="51"/>
        <v>0</v>
      </c>
      <c r="H563" s="346">
        <f t="shared" si="51"/>
        <v>0</v>
      </c>
      <c r="I563" s="579">
        <f t="shared" si="51"/>
        <v>0</v>
      </c>
      <c r="J563" s="325">
        <f t="shared" si="51"/>
        <v>0</v>
      </c>
      <c r="K563" s="567">
        <f t="shared" si="49"/>
        <v>2500</v>
      </c>
      <c r="L563" s="194">
        <f t="shared" si="50"/>
        <v>0</v>
      </c>
      <c r="M563" s="197"/>
      <c r="N563" s="197"/>
      <c r="O563" s="197"/>
      <c r="P563" s="174"/>
      <c r="Q563" s="174"/>
      <c r="R563" s="174"/>
      <c r="S563" s="174"/>
      <c r="T563" s="174"/>
    </row>
    <row r="564" spans="1:20" s="196" customFormat="1" ht="28.5" customHeight="1">
      <c r="A564" s="565" t="s">
        <v>193</v>
      </c>
      <c r="B564" s="195">
        <f t="shared" si="48"/>
        <v>22707</v>
      </c>
      <c r="C564" s="602">
        <f t="shared" si="51"/>
        <v>22707</v>
      </c>
      <c r="D564" s="346">
        <f t="shared" si="51"/>
        <v>0</v>
      </c>
      <c r="E564" s="579">
        <f t="shared" si="51"/>
        <v>0</v>
      </c>
      <c r="F564" s="579">
        <f t="shared" si="51"/>
        <v>0</v>
      </c>
      <c r="G564" s="579">
        <f t="shared" si="51"/>
        <v>0</v>
      </c>
      <c r="H564" s="346">
        <f t="shared" si="51"/>
        <v>0</v>
      </c>
      <c r="I564" s="579">
        <f t="shared" si="51"/>
        <v>0</v>
      </c>
      <c r="J564" s="325">
        <f t="shared" si="51"/>
        <v>0</v>
      </c>
      <c r="K564" s="567">
        <f t="shared" si="49"/>
        <v>22707</v>
      </c>
      <c r="L564" s="194">
        <f t="shared" si="50"/>
        <v>0</v>
      </c>
      <c r="M564" s="197"/>
      <c r="N564" s="197"/>
      <c r="O564" s="197"/>
      <c r="P564" s="174"/>
      <c r="Q564" s="174"/>
      <c r="R564" s="174"/>
      <c r="S564" s="174"/>
      <c r="T564" s="174"/>
    </row>
    <row r="565" spans="1:20" s="568" customFormat="1" ht="30">
      <c r="A565" s="565" t="s">
        <v>135</v>
      </c>
      <c r="B565" s="195">
        <f t="shared" si="48"/>
        <v>1866</v>
      </c>
      <c r="C565" s="602">
        <f t="shared" si="51"/>
        <v>1866</v>
      </c>
      <c r="D565" s="346">
        <f t="shared" si="51"/>
        <v>0</v>
      </c>
      <c r="E565" s="579">
        <f t="shared" si="51"/>
        <v>0</v>
      </c>
      <c r="F565" s="579">
        <f t="shared" si="51"/>
        <v>0</v>
      </c>
      <c r="G565" s="579">
        <f t="shared" si="51"/>
        <v>0</v>
      </c>
      <c r="H565" s="346">
        <f t="shared" si="51"/>
        <v>0</v>
      </c>
      <c r="I565" s="579">
        <f t="shared" si="51"/>
        <v>0</v>
      </c>
      <c r="J565" s="325">
        <f t="shared" si="51"/>
        <v>0</v>
      </c>
      <c r="K565" s="567">
        <f t="shared" si="49"/>
        <v>1866</v>
      </c>
      <c r="L565" s="194">
        <f t="shared" si="50"/>
        <v>0</v>
      </c>
      <c r="M565" s="567"/>
      <c r="N565" s="567"/>
      <c r="O565" s="567"/>
      <c r="P565" s="174"/>
      <c r="Q565" s="174"/>
      <c r="R565" s="174"/>
      <c r="S565" s="174"/>
      <c r="T565" s="174"/>
    </row>
    <row r="566" spans="1:20" s="568" customFormat="1" ht="47.25" customHeight="1">
      <c r="A566" s="565" t="s">
        <v>136</v>
      </c>
      <c r="B566" s="195">
        <f t="shared" si="48"/>
        <v>1568</v>
      </c>
      <c r="C566" s="602">
        <f t="shared" si="51"/>
        <v>1568</v>
      </c>
      <c r="D566" s="346">
        <f t="shared" si="51"/>
        <v>0</v>
      </c>
      <c r="E566" s="579">
        <f t="shared" si="51"/>
        <v>0</v>
      </c>
      <c r="F566" s="579">
        <f t="shared" si="51"/>
        <v>0</v>
      </c>
      <c r="G566" s="579">
        <f t="shared" si="51"/>
        <v>0</v>
      </c>
      <c r="H566" s="346">
        <f t="shared" si="51"/>
        <v>0</v>
      </c>
      <c r="I566" s="579">
        <f t="shared" si="51"/>
        <v>0</v>
      </c>
      <c r="J566" s="325">
        <f t="shared" si="51"/>
        <v>0</v>
      </c>
      <c r="K566" s="567">
        <f t="shared" si="49"/>
        <v>1568</v>
      </c>
      <c r="L566" s="194">
        <f t="shared" si="50"/>
        <v>0</v>
      </c>
      <c r="M566" s="567"/>
      <c r="N566" s="567"/>
      <c r="O566" s="567"/>
      <c r="P566" s="174"/>
      <c r="Q566" s="174"/>
      <c r="R566" s="174"/>
      <c r="S566" s="174"/>
      <c r="T566" s="174"/>
    </row>
    <row r="567" spans="1:20" s="568" customFormat="1" ht="30">
      <c r="A567" s="565" t="s">
        <v>535</v>
      </c>
      <c r="B567" s="195">
        <f t="shared" si="48"/>
        <v>101366</v>
      </c>
      <c r="C567" s="602">
        <f t="shared" si="51"/>
        <v>101366</v>
      </c>
      <c r="D567" s="346">
        <f t="shared" si="51"/>
        <v>0</v>
      </c>
      <c r="E567" s="579">
        <f t="shared" si="51"/>
        <v>0</v>
      </c>
      <c r="F567" s="579">
        <f t="shared" si="51"/>
        <v>0</v>
      </c>
      <c r="G567" s="579">
        <f t="shared" si="51"/>
        <v>0</v>
      </c>
      <c r="H567" s="346">
        <f t="shared" si="51"/>
        <v>0</v>
      </c>
      <c r="I567" s="579">
        <f t="shared" si="51"/>
        <v>0</v>
      </c>
      <c r="J567" s="325">
        <f t="shared" si="51"/>
        <v>0</v>
      </c>
      <c r="K567" s="567">
        <f t="shared" si="49"/>
        <v>101366</v>
      </c>
      <c r="L567" s="194">
        <f t="shared" si="50"/>
        <v>0</v>
      </c>
      <c r="M567" s="567"/>
      <c r="N567" s="567"/>
      <c r="O567" s="567"/>
      <c r="P567" s="174"/>
      <c r="Q567" s="174"/>
      <c r="R567" s="174"/>
      <c r="S567" s="174"/>
      <c r="T567" s="174"/>
    </row>
    <row r="568" spans="1:12" s="191" customFormat="1" ht="30" customHeight="1" thickBot="1">
      <c r="A568" s="532" t="s">
        <v>581</v>
      </c>
      <c r="B568" s="533">
        <f>B152+B274+B345</f>
        <v>650</v>
      </c>
      <c r="C568" s="613">
        <f>C152+C274+C345</f>
        <v>0</v>
      </c>
      <c r="D568" s="520">
        <f>D152+D274+D345</f>
        <v>100</v>
      </c>
      <c r="E568" s="630"/>
      <c r="F568" s="630"/>
      <c r="G568" s="630">
        <f>G152+G274+G345</f>
        <v>0</v>
      </c>
      <c r="H568" s="3">
        <f>H152+H274+H345</f>
        <v>0</v>
      </c>
      <c r="I568" s="630">
        <f>I152+I274+I345</f>
        <v>0</v>
      </c>
      <c r="J568" s="452">
        <f>J152+J274+J345</f>
        <v>0</v>
      </c>
      <c r="K568" s="567">
        <f t="shared" si="49"/>
        <v>650</v>
      </c>
      <c r="L568" s="194">
        <f>K568-B568</f>
        <v>0</v>
      </c>
    </row>
    <row r="569" spans="1:10" s="191" customFormat="1" ht="27.75" customHeight="1">
      <c r="A569" s="879" t="s">
        <v>589</v>
      </c>
      <c r="B569" s="879"/>
      <c r="C569" s="879"/>
      <c r="D569" s="879"/>
      <c r="E569" s="879"/>
      <c r="F569" s="879"/>
      <c r="G569" s="879"/>
      <c r="H569" s="879"/>
      <c r="I569" s="879"/>
      <c r="J569" s="879"/>
    </row>
    <row r="570" spans="1:10" s="191" customFormat="1" ht="27.75" customHeight="1">
      <c r="A570" s="414"/>
      <c r="B570" s="415"/>
      <c r="C570" s="631"/>
      <c r="D570" s="527"/>
      <c r="E570" s="632"/>
      <c r="F570" s="632"/>
      <c r="G570" s="631"/>
      <c r="H570" s="527"/>
      <c r="I570" s="631"/>
      <c r="J570" s="631"/>
    </row>
    <row r="571" spans="2:20" s="191" customFormat="1" ht="15.75" thickBot="1">
      <c r="B571" s="194"/>
      <c r="C571" s="633"/>
      <c r="D571" s="194"/>
      <c r="E571" s="634"/>
      <c r="F571" s="634"/>
      <c r="G571" s="633"/>
      <c r="H571" s="194"/>
      <c r="I571" s="633"/>
      <c r="J571" s="194"/>
      <c r="L571" s="869"/>
      <c r="M571" s="869"/>
      <c r="N571" s="869"/>
      <c r="O571" s="191" t="s">
        <v>427</v>
      </c>
      <c r="R571" s="869" t="s">
        <v>426</v>
      </c>
      <c r="S571" s="869"/>
      <c r="T571" s="869"/>
    </row>
    <row r="572" spans="1:20" s="191" customFormat="1" ht="15" customHeight="1" thickBot="1">
      <c r="A572" s="861" t="s">
        <v>4</v>
      </c>
      <c r="B572" s="864" t="s">
        <v>97</v>
      </c>
      <c r="C572" s="865" t="s">
        <v>430</v>
      </c>
      <c r="D572" s="866"/>
      <c r="E572" s="866"/>
      <c r="F572" s="866"/>
      <c r="G572" s="866"/>
      <c r="H572" s="866"/>
      <c r="I572" s="866"/>
      <c r="J572" s="867"/>
      <c r="K572" s="875" t="s">
        <v>97</v>
      </c>
      <c r="L572" s="856" t="s">
        <v>429</v>
      </c>
      <c r="M572" s="856"/>
      <c r="N572" s="857"/>
      <c r="Q572" s="854" t="s">
        <v>97</v>
      </c>
      <c r="R572" s="870" t="s">
        <v>428</v>
      </c>
      <c r="S572" s="856"/>
      <c r="T572" s="857"/>
    </row>
    <row r="573" spans="1:20" s="191" customFormat="1" ht="15" customHeight="1">
      <c r="A573" s="862"/>
      <c r="B573" s="817"/>
      <c r="C573" s="868" t="s">
        <v>551</v>
      </c>
      <c r="D573" s="877" t="s">
        <v>559</v>
      </c>
      <c r="E573" s="502"/>
      <c r="F573" s="502"/>
      <c r="G573" s="815" t="s">
        <v>42</v>
      </c>
      <c r="H573" s="850" t="s">
        <v>43</v>
      </c>
      <c r="I573" s="635"/>
      <c r="J573" s="813" t="s">
        <v>439</v>
      </c>
      <c r="K573" s="817"/>
      <c r="L573" s="814" t="s">
        <v>186</v>
      </c>
      <c r="M573" s="859" t="s">
        <v>42</v>
      </c>
      <c r="N573" s="873" t="s">
        <v>43</v>
      </c>
      <c r="Q573" s="817"/>
      <c r="R573" s="871" t="s">
        <v>186</v>
      </c>
      <c r="S573" s="859" t="s">
        <v>42</v>
      </c>
      <c r="T573" s="873" t="s">
        <v>43</v>
      </c>
    </row>
    <row r="574" spans="1:20" s="191" customFormat="1" ht="51.75" customHeight="1" thickBot="1">
      <c r="A574" s="863"/>
      <c r="B574" s="855"/>
      <c r="C574" s="858"/>
      <c r="D574" s="878"/>
      <c r="E574" s="503"/>
      <c r="F574" s="503"/>
      <c r="G574" s="860"/>
      <c r="H574" s="850"/>
      <c r="I574" s="636"/>
      <c r="J574" s="876"/>
      <c r="K574" s="855"/>
      <c r="L574" s="858"/>
      <c r="M574" s="860"/>
      <c r="N574" s="874"/>
      <c r="Q574" s="855"/>
      <c r="R574" s="872"/>
      <c r="S574" s="860"/>
      <c r="T574" s="874"/>
    </row>
    <row r="575" spans="1:30" s="191" customFormat="1" ht="15.75">
      <c r="A575" s="302" t="s">
        <v>398</v>
      </c>
      <c r="B575" s="305">
        <f aca="true" t="shared" si="52" ref="B575:J575">B15+B135+B154+B163+B276+B533</f>
        <v>72440</v>
      </c>
      <c r="C575" s="305">
        <f t="shared" si="52"/>
        <v>17957</v>
      </c>
      <c r="D575" s="305">
        <f t="shared" si="52"/>
        <v>20876</v>
      </c>
      <c r="E575" s="305">
        <f t="shared" si="52"/>
        <v>0</v>
      </c>
      <c r="F575" s="305">
        <f t="shared" si="52"/>
        <v>2960</v>
      </c>
      <c r="G575" s="305">
        <f t="shared" si="52"/>
        <v>2152</v>
      </c>
      <c r="H575" s="305">
        <f t="shared" si="52"/>
        <v>10530</v>
      </c>
      <c r="I575" s="305">
        <f t="shared" si="52"/>
        <v>0</v>
      </c>
      <c r="J575" s="305">
        <f t="shared" si="52"/>
        <v>916</v>
      </c>
      <c r="K575" s="191">
        <f>ROUND(L575+M575+N575*2.9,0)</f>
        <v>934</v>
      </c>
      <c r="L575" s="191">
        <v>324</v>
      </c>
      <c r="M575" s="191">
        <v>50</v>
      </c>
      <c r="N575" s="191">
        <v>193</v>
      </c>
      <c r="O575" s="312">
        <f>SUM(L575:N575)</f>
        <v>567</v>
      </c>
      <c r="Q575" s="357">
        <f>B575+K575</f>
        <v>73374</v>
      </c>
      <c r="R575" s="313">
        <f>C575+L575</f>
        <v>18281</v>
      </c>
      <c r="S575" s="313">
        <f>G575+M575</f>
        <v>2202</v>
      </c>
      <c r="T575" s="313">
        <f>H575+N575</f>
        <v>10723</v>
      </c>
      <c r="X575" s="194">
        <f>T575+J575</f>
        <v>11639</v>
      </c>
      <c r="AA575" s="313"/>
      <c r="AB575" s="194"/>
      <c r="AC575" s="194"/>
      <c r="AD575" s="194"/>
    </row>
    <row r="576" spans="1:30" s="191" customFormat="1" ht="15.75">
      <c r="A576" s="302" t="s">
        <v>399</v>
      </c>
      <c r="B576" s="305">
        <f aca="true" t="shared" si="53" ref="B576:J576">B285+B176</f>
        <v>4325</v>
      </c>
      <c r="C576" s="305">
        <f t="shared" si="53"/>
        <v>0</v>
      </c>
      <c r="D576" s="305">
        <f t="shared" si="53"/>
        <v>1127</v>
      </c>
      <c r="E576" s="305">
        <f t="shared" si="53"/>
        <v>0</v>
      </c>
      <c r="F576" s="305">
        <f t="shared" si="53"/>
        <v>0</v>
      </c>
      <c r="G576" s="305">
        <f t="shared" si="53"/>
        <v>5</v>
      </c>
      <c r="H576" s="305">
        <f t="shared" si="53"/>
        <v>1101</v>
      </c>
      <c r="I576" s="305">
        <f t="shared" si="53"/>
        <v>0</v>
      </c>
      <c r="J576" s="305">
        <f t="shared" si="53"/>
        <v>0</v>
      </c>
      <c r="K576" s="191">
        <f aca="true" t="shared" si="54" ref="K576:K603">ROUND(L576+M576+N576*2.9,0)</f>
        <v>29</v>
      </c>
      <c r="L576" s="191">
        <v>17</v>
      </c>
      <c r="M576" s="191">
        <v>0</v>
      </c>
      <c r="N576" s="191">
        <v>4</v>
      </c>
      <c r="O576" s="312">
        <f aca="true" t="shared" si="55" ref="O576:O603">SUM(L576:N576)</f>
        <v>21</v>
      </c>
      <c r="Q576" s="357">
        <f aca="true" t="shared" si="56" ref="Q576:Q603">B576+K576</f>
        <v>4354</v>
      </c>
      <c r="R576" s="313">
        <f aca="true" t="shared" si="57" ref="R576:R604">C576+L576</f>
        <v>17</v>
      </c>
      <c r="S576" s="313">
        <f aca="true" t="shared" si="58" ref="S576:S604">G576+M576</f>
        <v>5</v>
      </c>
      <c r="T576" s="313">
        <f aca="true" t="shared" si="59" ref="T576:T604">H576+N576</f>
        <v>1105</v>
      </c>
      <c r="X576" s="194">
        <f aca="true" t="shared" si="60" ref="X576:X603">T576+J576</f>
        <v>1105</v>
      </c>
      <c r="AA576" s="313"/>
      <c r="AB576" s="194"/>
      <c r="AC576" s="194"/>
      <c r="AD576" s="194"/>
    </row>
    <row r="577" spans="1:30" s="191" customFormat="1" ht="15.75">
      <c r="A577" s="302" t="s">
        <v>44</v>
      </c>
      <c r="B577" s="305">
        <f aca="true" t="shared" si="61" ref="B577:J577">B24+B286</f>
        <v>17005</v>
      </c>
      <c r="C577" s="305">
        <f t="shared" si="61"/>
        <v>0</v>
      </c>
      <c r="D577" s="305">
        <f t="shared" si="61"/>
        <v>4639</v>
      </c>
      <c r="E577" s="305">
        <f t="shared" si="61"/>
        <v>0</v>
      </c>
      <c r="F577" s="305">
        <f t="shared" si="61"/>
        <v>0</v>
      </c>
      <c r="G577" s="305">
        <f t="shared" si="61"/>
        <v>769</v>
      </c>
      <c r="H577" s="305">
        <f t="shared" si="61"/>
        <v>3999</v>
      </c>
      <c r="I577" s="305">
        <f t="shared" si="61"/>
        <v>0</v>
      </c>
      <c r="J577" s="305">
        <f t="shared" si="61"/>
        <v>0</v>
      </c>
      <c r="K577" s="191">
        <f t="shared" si="54"/>
        <v>0</v>
      </c>
      <c r="L577" s="191">
        <v>0</v>
      </c>
      <c r="M577" s="191">
        <v>0</v>
      </c>
      <c r="N577" s="191">
        <v>0</v>
      </c>
      <c r="O577" s="312">
        <f t="shared" si="55"/>
        <v>0</v>
      </c>
      <c r="Q577" s="313">
        <f t="shared" si="56"/>
        <v>17005</v>
      </c>
      <c r="R577" s="313">
        <f t="shared" si="57"/>
        <v>0</v>
      </c>
      <c r="S577" s="313">
        <f t="shared" si="58"/>
        <v>769</v>
      </c>
      <c r="T577" s="313">
        <f t="shared" si="59"/>
        <v>3999</v>
      </c>
      <c r="X577" s="194">
        <f t="shared" si="60"/>
        <v>3999</v>
      </c>
      <c r="AA577" s="313"/>
      <c r="AB577" s="194"/>
      <c r="AC577" s="194"/>
      <c r="AD577" s="194"/>
    </row>
    <row r="578" spans="1:30" s="191" customFormat="1" ht="15.75">
      <c r="A578" s="302" t="s">
        <v>400</v>
      </c>
      <c r="B578" s="305">
        <f aca="true" t="shared" si="62" ref="B578:J578">B25+B287+B177+B117</f>
        <v>14265</v>
      </c>
      <c r="C578" s="305">
        <f t="shared" si="62"/>
        <v>0</v>
      </c>
      <c r="D578" s="305">
        <f t="shared" si="62"/>
        <v>3994</v>
      </c>
      <c r="E578" s="305">
        <f t="shared" si="62"/>
        <v>1037</v>
      </c>
      <c r="F578" s="305">
        <f t="shared" si="62"/>
        <v>0</v>
      </c>
      <c r="G578" s="305">
        <f t="shared" si="62"/>
        <v>312</v>
      </c>
      <c r="H578" s="305">
        <f t="shared" si="62"/>
        <v>3434</v>
      </c>
      <c r="I578" s="305">
        <f t="shared" si="62"/>
        <v>0</v>
      </c>
      <c r="J578" s="305">
        <f t="shared" si="62"/>
        <v>0</v>
      </c>
      <c r="K578" s="191">
        <f t="shared" si="54"/>
        <v>126</v>
      </c>
      <c r="L578" s="191">
        <v>14</v>
      </c>
      <c r="M578" s="191">
        <v>5</v>
      </c>
      <c r="N578" s="191">
        <v>37</v>
      </c>
      <c r="O578" s="312">
        <f>SUM(L578:N578)</f>
        <v>56</v>
      </c>
      <c r="Q578" s="313">
        <f t="shared" si="56"/>
        <v>14391</v>
      </c>
      <c r="R578" s="313">
        <f t="shared" si="57"/>
        <v>14</v>
      </c>
      <c r="S578" s="313">
        <f t="shared" si="58"/>
        <v>317</v>
      </c>
      <c r="T578" s="313">
        <f t="shared" si="59"/>
        <v>3471</v>
      </c>
      <c r="X578" s="194">
        <f t="shared" si="60"/>
        <v>3471</v>
      </c>
      <c r="AA578" s="308"/>
      <c r="AB578" s="194"/>
      <c r="AC578" s="194"/>
      <c r="AD578" s="194"/>
    </row>
    <row r="579" spans="1:30" s="191" customFormat="1" ht="15.75">
      <c r="A579" s="303" t="s">
        <v>401</v>
      </c>
      <c r="B579" s="305">
        <f aca="true" t="shared" si="63" ref="B579:J579">B118</f>
        <v>1554</v>
      </c>
      <c r="C579" s="305">
        <f t="shared" si="63"/>
        <v>0</v>
      </c>
      <c r="D579" s="305">
        <f t="shared" si="63"/>
        <v>444</v>
      </c>
      <c r="E579" s="305">
        <f t="shared" si="63"/>
        <v>0</v>
      </c>
      <c r="F579" s="305">
        <f t="shared" si="63"/>
        <v>0</v>
      </c>
      <c r="G579" s="305">
        <f t="shared" si="63"/>
        <v>0</v>
      </c>
      <c r="H579" s="305">
        <f t="shared" si="63"/>
        <v>383</v>
      </c>
      <c r="I579" s="305">
        <f t="shared" si="63"/>
        <v>0</v>
      </c>
      <c r="J579" s="305">
        <f t="shared" si="63"/>
        <v>0</v>
      </c>
      <c r="K579" s="191">
        <f t="shared" si="54"/>
        <v>50</v>
      </c>
      <c r="L579" s="191">
        <v>12</v>
      </c>
      <c r="M579" s="191">
        <v>0</v>
      </c>
      <c r="N579" s="191">
        <v>13</v>
      </c>
      <c r="O579" s="312">
        <f t="shared" si="55"/>
        <v>25</v>
      </c>
      <c r="Q579" s="313">
        <f t="shared" si="56"/>
        <v>1604</v>
      </c>
      <c r="R579" s="313">
        <f t="shared" si="57"/>
        <v>12</v>
      </c>
      <c r="S579" s="313">
        <f t="shared" si="58"/>
        <v>0</v>
      </c>
      <c r="T579" s="313">
        <f t="shared" si="59"/>
        <v>396</v>
      </c>
      <c r="X579" s="194">
        <f t="shared" si="60"/>
        <v>396</v>
      </c>
      <c r="AA579" s="308"/>
      <c r="AB579" s="194"/>
      <c r="AC579" s="194"/>
      <c r="AD579" s="194"/>
    </row>
    <row r="580" spans="1:30" s="191" customFormat="1" ht="15.75">
      <c r="A580" s="303" t="s">
        <v>402</v>
      </c>
      <c r="B580" s="305">
        <f>B288</f>
        <v>3111</v>
      </c>
      <c r="C580" s="305">
        <f aca="true" t="shared" si="64" ref="C580:J580">C288</f>
        <v>0</v>
      </c>
      <c r="D580" s="305">
        <f t="shared" si="64"/>
        <v>846</v>
      </c>
      <c r="E580" s="305">
        <f t="shared" si="64"/>
        <v>0</v>
      </c>
      <c r="F580" s="305">
        <f t="shared" si="64"/>
        <v>0</v>
      </c>
      <c r="G580" s="305">
        <f t="shared" si="64"/>
        <v>154</v>
      </c>
      <c r="H580" s="305">
        <f t="shared" si="64"/>
        <v>728</v>
      </c>
      <c r="I580" s="305">
        <f t="shared" si="64"/>
        <v>0</v>
      </c>
      <c r="J580" s="305">
        <f t="shared" si="64"/>
        <v>0</v>
      </c>
      <c r="K580" s="191">
        <f t="shared" si="54"/>
        <v>9</v>
      </c>
      <c r="L580" s="191">
        <v>0</v>
      </c>
      <c r="M580" s="191">
        <v>0</v>
      </c>
      <c r="N580" s="191">
        <v>3</v>
      </c>
      <c r="O580" s="312">
        <f t="shared" si="55"/>
        <v>3</v>
      </c>
      <c r="Q580" s="357">
        <f t="shared" si="56"/>
        <v>3120</v>
      </c>
      <c r="R580" s="313">
        <f t="shared" si="57"/>
        <v>0</v>
      </c>
      <c r="S580" s="313">
        <f t="shared" si="58"/>
        <v>154</v>
      </c>
      <c r="T580" s="313">
        <f t="shared" si="59"/>
        <v>731</v>
      </c>
      <c r="X580" s="194">
        <f t="shared" si="60"/>
        <v>731</v>
      </c>
      <c r="AA580" s="313"/>
      <c r="AB580" s="194"/>
      <c r="AC580" s="194"/>
      <c r="AD580" s="194"/>
    </row>
    <row r="581" spans="1:30" s="191" customFormat="1" ht="15.75">
      <c r="A581" s="302" t="s">
        <v>403</v>
      </c>
      <c r="B581" s="305">
        <f aca="true" t="shared" si="65" ref="B581:J581">B26+B133+B289</f>
        <v>30431</v>
      </c>
      <c r="C581" s="305">
        <f t="shared" si="65"/>
        <v>0</v>
      </c>
      <c r="D581" s="305">
        <f t="shared" si="65"/>
        <v>8527</v>
      </c>
      <c r="E581" s="305">
        <f t="shared" si="65"/>
        <v>804</v>
      </c>
      <c r="F581" s="305">
        <f t="shared" si="65"/>
        <v>0</v>
      </c>
      <c r="G581" s="305">
        <f t="shared" si="65"/>
        <v>165</v>
      </c>
      <c r="H581" s="305">
        <f t="shared" si="65"/>
        <v>7348</v>
      </c>
      <c r="I581" s="305">
        <f t="shared" si="65"/>
        <v>0</v>
      </c>
      <c r="J581" s="305">
        <f t="shared" si="65"/>
        <v>429</v>
      </c>
      <c r="K581" s="191">
        <f t="shared" si="54"/>
        <v>367</v>
      </c>
      <c r="L581" s="191">
        <v>181</v>
      </c>
      <c r="M581" s="191">
        <v>0</v>
      </c>
      <c r="N581" s="191">
        <v>64</v>
      </c>
      <c r="O581" s="312">
        <f t="shared" si="55"/>
        <v>245</v>
      </c>
      <c r="Q581" s="357">
        <f t="shared" si="56"/>
        <v>30798</v>
      </c>
      <c r="R581" s="313">
        <f t="shared" si="57"/>
        <v>181</v>
      </c>
      <c r="S581" s="313">
        <f t="shared" si="58"/>
        <v>165</v>
      </c>
      <c r="T581" s="313">
        <f t="shared" si="59"/>
        <v>7412</v>
      </c>
      <c r="X581" s="194">
        <f t="shared" si="60"/>
        <v>7841</v>
      </c>
      <c r="AA581" s="313"/>
      <c r="AB581" s="194"/>
      <c r="AC581" s="194"/>
      <c r="AD581" s="194"/>
    </row>
    <row r="582" spans="1:30" s="191" customFormat="1" ht="15.75">
      <c r="A582" s="304" t="s">
        <v>404</v>
      </c>
      <c r="B582" s="305">
        <f aca="true" t="shared" si="66" ref="B582:J582">B27++B290+B208</f>
        <v>16426</v>
      </c>
      <c r="C582" s="305">
        <f t="shared" si="66"/>
        <v>0</v>
      </c>
      <c r="D582" s="305">
        <f t="shared" si="66"/>
        <v>4604</v>
      </c>
      <c r="E582" s="305">
        <f t="shared" si="66"/>
        <v>439</v>
      </c>
      <c r="F582" s="305">
        <f t="shared" si="66"/>
        <v>0</v>
      </c>
      <c r="G582" s="305">
        <f t="shared" si="66"/>
        <v>1137</v>
      </c>
      <c r="H582" s="305">
        <f t="shared" si="66"/>
        <v>3584</v>
      </c>
      <c r="I582" s="305">
        <f t="shared" si="66"/>
        <v>0</v>
      </c>
      <c r="J582" s="305">
        <f t="shared" si="66"/>
        <v>291</v>
      </c>
      <c r="K582" s="191">
        <f t="shared" si="54"/>
        <v>212</v>
      </c>
      <c r="L582" s="191">
        <v>83</v>
      </c>
      <c r="M582" s="191">
        <v>10</v>
      </c>
      <c r="N582" s="191">
        <v>41</v>
      </c>
      <c r="O582" s="312">
        <f t="shared" si="55"/>
        <v>134</v>
      </c>
      <c r="Q582" s="357">
        <f t="shared" si="56"/>
        <v>16638</v>
      </c>
      <c r="R582" s="313">
        <f t="shared" si="57"/>
        <v>83</v>
      </c>
      <c r="S582" s="313">
        <f t="shared" si="58"/>
        <v>1147</v>
      </c>
      <c r="T582" s="313">
        <f t="shared" si="59"/>
        <v>3625</v>
      </c>
      <c r="X582" s="194">
        <f t="shared" si="60"/>
        <v>3916</v>
      </c>
      <c r="AA582" s="313"/>
      <c r="AB582" s="194"/>
      <c r="AC582" s="194"/>
      <c r="AD582" s="194"/>
    </row>
    <row r="583" spans="1:30" s="191" customFormat="1" ht="15.75">
      <c r="A583" s="302" t="s">
        <v>405</v>
      </c>
      <c r="B583" s="305">
        <f aca="true" t="shared" si="67" ref="B583:J583">B28+B292+B178+B119</f>
        <v>14755</v>
      </c>
      <c r="C583" s="305">
        <f t="shared" si="67"/>
        <v>0</v>
      </c>
      <c r="D583" s="305">
        <f t="shared" si="67"/>
        <v>4178</v>
      </c>
      <c r="E583" s="305">
        <f t="shared" si="67"/>
        <v>746</v>
      </c>
      <c r="F583" s="305">
        <f t="shared" si="67"/>
        <v>0</v>
      </c>
      <c r="G583" s="305">
        <f t="shared" si="67"/>
        <v>752</v>
      </c>
      <c r="H583" s="305">
        <f t="shared" si="67"/>
        <v>2821</v>
      </c>
      <c r="I583" s="305">
        <f t="shared" si="67"/>
        <v>0</v>
      </c>
      <c r="J583" s="305">
        <f t="shared" si="67"/>
        <v>1645</v>
      </c>
      <c r="K583" s="191">
        <f t="shared" si="54"/>
        <v>279</v>
      </c>
      <c r="L583" s="191">
        <v>149</v>
      </c>
      <c r="M583" s="191">
        <v>20</v>
      </c>
      <c r="N583" s="191">
        <v>38</v>
      </c>
      <c r="O583" s="312">
        <f t="shared" si="55"/>
        <v>207</v>
      </c>
      <c r="Q583" s="357">
        <f t="shared" si="56"/>
        <v>15034</v>
      </c>
      <c r="R583" s="313">
        <f t="shared" si="57"/>
        <v>149</v>
      </c>
      <c r="S583" s="313">
        <f t="shared" si="58"/>
        <v>772</v>
      </c>
      <c r="T583" s="313">
        <f t="shared" si="59"/>
        <v>2859</v>
      </c>
      <c r="X583" s="194">
        <f t="shared" si="60"/>
        <v>4504</v>
      </c>
      <c r="AA583" s="313"/>
      <c r="AB583" s="194"/>
      <c r="AC583" s="194"/>
      <c r="AD583" s="194"/>
    </row>
    <row r="584" spans="1:30" s="191" customFormat="1" ht="15.75">
      <c r="A584" s="303" t="s">
        <v>406</v>
      </c>
      <c r="B584" s="305">
        <f>B537</f>
        <v>45</v>
      </c>
      <c r="C584" s="305">
        <f aca="true" t="shared" si="68" ref="C584:J584">C537</f>
        <v>0</v>
      </c>
      <c r="D584" s="305">
        <f t="shared" si="68"/>
        <v>1</v>
      </c>
      <c r="E584" s="305">
        <f t="shared" si="68"/>
        <v>0</v>
      </c>
      <c r="F584" s="305">
        <f t="shared" si="68"/>
        <v>0</v>
      </c>
      <c r="G584" s="305">
        <f t="shared" si="68"/>
        <v>0</v>
      </c>
      <c r="H584" s="305">
        <f t="shared" si="68"/>
        <v>15</v>
      </c>
      <c r="I584" s="305">
        <f t="shared" si="68"/>
        <v>0</v>
      </c>
      <c r="J584" s="305">
        <f t="shared" si="68"/>
        <v>0</v>
      </c>
      <c r="K584" s="191">
        <f t="shared" si="54"/>
        <v>18</v>
      </c>
      <c r="L584" s="191">
        <v>9</v>
      </c>
      <c r="M584" s="191">
        <v>0</v>
      </c>
      <c r="N584" s="191">
        <v>3</v>
      </c>
      <c r="O584" s="312">
        <f t="shared" si="55"/>
        <v>12</v>
      </c>
      <c r="Q584" s="313">
        <f t="shared" si="56"/>
        <v>63</v>
      </c>
      <c r="R584" s="313">
        <f t="shared" si="57"/>
        <v>9</v>
      </c>
      <c r="S584" s="313">
        <f t="shared" si="58"/>
        <v>0</v>
      </c>
      <c r="T584" s="313">
        <f t="shared" si="59"/>
        <v>18</v>
      </c>
      <c r="X584" s="194">
        <f t="shared" si="60"/>
        <v>18</v>
      </c>
      <c r="AA584" s="308"/>
      <c r="AB584" s="194"/>
      <c r="AC584" s="194"/>
      <c r="AD584" s="194"/>
    </row>
    <row r="585" spans="1:30" s="191" customFormat="1" ht="15.75">
      <c r="A585" s="303" t="s">
        <v>65</v>
      </c>
      <c r="B585" s="305">
        <f>B549+B291</f>
        <v>1180</v>
      </c>
      <c r="C585" s="305">
        <f aca="true" t="shared" si="69" ref="C585:J585">C549+C291</f>
        <v>0</v>
      </c>
      <c r="D585" s="305">
        <f t="shared" si="69"/>
        <v>0</v>
      </c>
      <c r="E585" s="305">
        <f t="shared" si="69"/>
        <v>0</v>
      </c>
      <c r="F585" s="305">
        <f t="shared" si="69"/>
        <v>0</v>
      </c>
      <c r="G585" s="305">
        <f t="shared" si="69"/>
        <v>0</v>
      </c>
      <c r="H585" s="305">
        <f t="shared" si="69"/>
        <v>0</v>
      </c>
      <c r="I585" s="305">
        <f t="shared" si="69"/>
        <v>407</v>
      </c>
      <c r="J585" s="305">
        <f t="shared" si="69"/>
        <v>0</v>
      </c>
      <c r="K585" s="191">
        <f t="shared" si="54"/>
        <v>0</v>
      </c>
      <c r="L585" s="191">
        <v>0</v>
      </c>
      <c r="M585" s="191">
        <v>0</v>
      </c>
      <c r="N585" s="191">
        <v>0</v>
      </c>
      <c r="O585" s="312">
        <f t="shared" si="55"/>
        <v>0</v>
      </c>
      <c r="Q585" s="357">
        <f t="shared" si="56"/>
        <v>1180</v>
      </c>
      <c r="R585" s="313">
        <f t="shared" si="57"/>
        <v>0</v>
      </c>
      <c r="S585" s="313">
        <f t="shared" si="58"/>
        <v>0</v>
      </c>
      <c r="T585" s="313">
        <f t="shared" si="59"/>
        <v>0</v>
      </c>
      <c r="X585" s="194">
        <f t="shared" si="60"/>
        <v>0</v>
      </c>
      <c r="AA585" s="313"/>
      <c r="AB585" s="194"/>
      <c r="AC585" s="194"/>
      <c r="AD585" s="194"/>
    </row>
    <row r="586" spans="1:30" s="191" customFormat="1" ht="15.75">
      <c r="A586" s="302" t="s">
        <v>407</v>
      </c>
      <c r="B586" s="305">
        <f aca="true" t="shared" si="70" ref="B586:J586">B29+B293+B209+B120</f>
        <v>42829</v>
      </c>
      <c r="C586" s="305">
        <f t="shared" si="70"/>
        <v>11164</v>
      </c>
      <c r="D586" s="305">
        <f t="shared" si="70"/>
        <v>9958</v>
      </c>
      <c r="E586" s="305">
        <f t="shared" si="70"/>
        <v>550</v>
      </c>
      <c r="F586" s="305">
        <f t="shared" si="70"/>
        <v>0</v>
      </c>
      <c r="G586" s="305">
        <f t="shared" si="70"/>
        <v>1625</v>
      </c>
      <c r="H586" s="305">
        <f t="shared" si="70"/>
        <v>6539</v>
      </c>
      <c r="I586" s="305">
        <f t="shared" si="70"/>
        <v>0</v>
      </c>
      <c r="J586" s="305">
        <f t="shared" si="70"/>
        <v>1118</v>
      </c>
      <c r="K586" s="191">
        <f t="shared" si="54"/>
        <v>397</v>
      </c>
      <c r="L586" s="191">
        <v>290</v>
      </c>
      <c r="M586" s="191">
        <v>14</v>
      </c>
      <c r="N586" s="191">
        <v>32</v>
      </c>
      <c r="O586" s="312">
        <f t="shared" si="55"/>
        <v>336</v>
      </c>
      <c r="Q586" s="357">
        <f t="shared" si="56"/>
        <v>43226</v>
      </c>
      <c r="R586" s="313">
        <f t="shared" si="57"/>
        <v>11454</v>
      </c>
      <c r="S586" s="313">
        <f t="shared" si="58"/>
        <v>1639</v>
      </c>
      <c r="T586" s="313">
        <f t="shared" si="59"/>
        <v>6571</v>
      </c>
      <c r="X586" s="194">
        <f t="shared" si="60"/>
        <v>7689</v>
      </c>
      <c r="AA586" s="313"/>
      <c r="AB586" s="194"/>
      <c r="AC586" s="194"/>
      <c r="AD586" s="194"/>
    </row>
    <row r="587" spans="1:30" s="191" customFormat="1" ht="15.75">
      <c r="A587" s="303" t="s">
        <v>408</v>
      </c>
      <c r="B587" s="305">
        <f aca="true" t="shared" si="71" ref="B587:J587">B121</f>
        <v>1669</v>
      </c>
      <c r="C587" s="305">
        <f t="shared" si="71"/>
        <v>0</v>
      </c>
      <c r="D587" s="305">
        <f t="shared" si="71"/>
        <v>371</v>
      </c>
      <c r="E587" s="305">
        <f t="shared" si="71"/>
        <v>0</v>
      </c>
      <c r="F587" s="305">
        <f t="shared" si="71"/>
        <v>0</v>
      </c>
      <c r="G587" s="305">
        <f t="shared" si="71"/>
        <v>373</v>
      </c>
      <c r="H587" s="305">
        <f t="shared" si="71"/>
        <v>319</v>
      </c>
      <c r="I587" s="305">
        <f t="shared" si="71"/>
        <v>0</v>
      </c>
      <c r="J587" s="305">
        <f t="shared" si="71"/>
        <v>0</v>
      </c>
      <c r="K587" s="191">
        <f>ROUND(L587+M587+N587*2.9,0)+1</f>
        <v>87</v>
      </c>
      <c r="L587" s="191">
        <v>6</v>
      </c>
      <c r="M587" s="191">
        <v>5</v>
      </c>
      <c r="N587" s="191">
        <v>26</v>
      </c>
      <c r="O587" s="312">
        <f t="shared" si="55"/>
        <v>37</v>
      </c>
      <c r="Q587" s="313">
        <f t="shared" si="56"/>
        <v>1756</v>
      </c>
      <c r="R587" s="313">
        <f t="shared" si="57"/>
        <v>6</v>
      </c>
      <c r="S587" s="313">
        <f t="shared" si="58"/>
        <v>378</v>
      </c>
      <c r="T587" s="313">
        <f t="shared" si="59"/>
        <v>345</v>
      </c>
      <c r="X587" s="194">
        <f t="shared" si="60"/>
        <v>345</v>
      </c>
      <c r="AA587" s="308"/>
      <c r="AB587" s="194"/>
      <c r="AC587" s="194"/>
      <c r="AD587" s="194"/>
    </row>
    <row r="588" spans="1:30" s="191" customFormat="1" ht="15.75">
      <c r="A588" s="302" t="s">
        <v>409</v>
      </c>
      <c r="B588" s="305">
        <f aca="true" t="shared" si="72" ref="B588:J588">B122+B218+B555</f>
        <v>1334</v>
      </c>
      <c r="C588" s="305">
        <f t="shared" si="72"/>
        <v>0</v>
      </c>
      <c r="D588" s="305">
        <f t="shared" si="72"/>
        <v>400</v>
      </c>
      <c r="E588" s="305">
        <f t="shared" si="72"/>
        <v>0</v>
      </c>
      <c r="F588" s="305">
        <f t="shared" si="72"/>
        <v>0</v>
      </c>
      <c r="G588" s="305">
        <f t="shared" si="72"/>
        <v>0</v>
      </c>
      <c r="H588" s="305">
        <f t="shared" si="72"/>
        <v>322</v>
      </c>
      <c r="I588" s="305">
        <f t="shared" si="72"/>
        <v>0</v>
      </c>
      <c r="J588" s="305">
        <f t="shared" si="72"/>
        <v>0</v>
      </c>
      <c r="K588" s="191">
        <f t="shared" si="54"/>
        <v>57</v>
      </c>
      <c r="L588" s="191">
        <v>12</v>
      </c>
      <c r="M588" s="191">
        <v>7</v>
      </c>
      <c r="N588" s="191">
        <v>13</v>
      </c>
      <c r="O588" s="312">
        <f t="shared" si="55"/>
        <v>32</v>
      </c>
      <c r="Q588" s="313">
        <f t="shared" si="56"/>
        <v>1391</v>
      </c>
      <c r="R588" s="313">
        <f t="shared" si="57"/>
        <v>12</v>
      </c>
      <c r="S588" s="313">
        <f t="shared" si="58"/>
        <v>7</v>
      </c>
      <c r="T588" s="313">
        <f t="shared" si="59"/>
        <v>335</v>
      </c>
      <c r="X588" s="194">
        <f t="shared" si="60"/>
        <v>335</v>
      </c>
      <c r="AA588" s="308"/>
      <c r="AB588" s="194"/>
      <c r="AC588" s="194"/>
      <c r="AD588" s="194"/>
    </row>
    <row r="589" spans="1:30" s="191" customFormat="1" ht="15.75">
      <c r="A589" s="302" t="s">
        <v>410</v>
      </c>
      <c r="B589" s="305">
        <f aca="true" t="shared" si="73" ref="B589:J589">B38+B136+B179</f>
        <v>22699</v>
      </c>
      <c r="C589" s="305">
        <f t="shared" si="73"/>
        <v>0</v>
      </c>
      <c r="D589" s="305">
        <f t="shared" si="73"/>
        <v>5078</v>
      </c>
      <c r="E589" s="305">
        <f t="shared" si="73"/>
        <v>0</v>
      </c>
      <c r="F589" s="305">
        <f t="shared" si="73"/>
        <v>0</v>
      </c>
      <c r="G589" s="305">
        <f t="shared" si="73"/>
        <v>106</v>
      </c>
      <c r="H589" s="305">
        <f t="shared" si="73"/>
        <v>3998</v>
      </c>
      <c r="I589" s="305">
        <f t="shared" si="73"/>
        <v>0</v>
      </c>
      <c r="J589" s="305">
        <f t="shared" si="73"/>
        <v>5920</v>
      </c>
      <c r="K589" s="191">
        <f t="shared" si="54"/>
        <v>675</v>
      </c>
      <c r="L589" s="191">
        <v>414</v>
      </c>
      <c r="M589" s="191">
        <v>0</v>
      </c>
      <c r="N589" s="191">
        <v>90</v>
      </c>
      <c r="O589" s="312">
        <f t="shared" si="55"/>
        <v>504</v>
      </c>
      <c r="Q589" s="357">
        <f t="shared" si="56"/>
        <v>23374</v>
      </c>
      <c r="R589" s="313">
        <f t="shared" si="57"/>
        <v>414</v>
      </c>
      <c r="S589" s="313">
        <f t="shared" si="58"/>
        <v>106</v>
      </c>
      <c r="T589" s="313">
        <f t="shared" si="59"/>
        <v>4088</v>
      </c>
      <c r="X589" s="194">
        <f t="shared" si="60"/>
        <v>10008</v>
      </c>
      <c r="AA589" s="313"/>
      <c r="AB589" s="194"/>
      <c r="AC589" s="194"/>
      <c r="AD589" s="194"/>
    </row>
    <row r="590" spans="1:30" s="191" customFormat="1" ht="15.75">
      <c r="A590" s="302" t="s">
        <v>411</v>
      </c>
      <c r="B590" s="305">
        <f aca="true" t="shared" si="74" ref="B590:J590">B39+B294+B538+B219+B123</f>
        <v>39165</v>
      </c>
      <c r="C590" s="305">
        <f t="shared" si="74"/>
        <v>8386</v>
      </c>
      <c r="D590" s="305">
        <f t="shared" si="74"/>
        <v>9574</v>
      </c>
      <c r="E590" s="305">
        <f t="shared" si="74"/>
        <v>1347</v>
      </c>
      <c r="F590" s="305">
        <f t="shared" si="74"/>
        <v>0</v>
      </c>
      <c r="G590" s="305">
        <f t="shared" si="74"/>
        <v>1202</v>
      </c>
      <c r="H590" s="305">
        <f t="shared" si="74"/>
        <v>6813</v>
      </c>
      <c r="I590" s="305">
        <f t="shared" si="74"/>
        <v>0</v>
      </c>
      <c r="J590" s="305">
        <f t="shared" si="74"/>
        <v>245</v>
      </c>
      <c r="K590" s="191">
        <f t="shared" si="54"/>
        <v>460</v>
      </c>
      <c r="L590" s="191">
        <v>248</v>
      </c>
      <c r="M590" s="191">
        <v>50</v>
      </c>
      <c r="N590" s="191">
        <v>56</v>
      </c>
      <c r="O590" s="312">
        <f t="shared" si="55"/>
        <v>354</v>
      </c>
      <c r="Q590" s="357">
        <f t="shared" si="56"/>
        <v>39625</v>
      </c>
      <c r="R590" s="313">
        <f t="shared" si="57"/>
        <v>8634</v>
      </c>
      <c r="S590" s="313">
        <f t="shared" si="58"/>
        <v>1252</v>
      </c>
      <c r="T590" s="313">
        <f t="shared" si="59"/>
        <v>6869</v>
      </c>
      <c r="X590" s="194">
        <f t="shared" si="60"/>
        <v>7114</v>
      </c>
      <c r="AA590" s="313"/>
      <c r="AB590" s="194"/>
      <c r="AC590" s="194"/>
      <c r="AD590" s="194"/>
    </row>
    <row r="591" spans="1:30" s="191" customFormat="1" ht="15.75">
      <c r="A591" s="302" t="s">
        <v>412</v>
      </c>
      <c r="B591" s="305">
        <f aca="true" t="shared" si="75" ref="B591:J591">B48+B165+B295+B553+B228+B124</f>
        <v>52013</v>
      </c>
      <c r="C591" s="305">
        <f t="shared" si="75"/>
        <v>10599</v>
      </c>
      <c r="D591" s="305">
        <f t="shared" si="75"/>
        <v>13154</v>
      </c>
      <c r="E591" s="305">
        <f t="shared" si="75"/>
        <v>2059</v>
      </c>
      <c r="F591" s="305">
        <f t="shared" si="75"/>
        <v>0</v>
      </c>
      <c r="G591" s="305">
        <f t="shared" si="75"/>
        <v>1443</v>
      </c>
      <c r="H591" s="305">
        <f t="shared" si="75"/>
        <v>9057</v>
      </c>
      <c r="I591" s="305">
        <f t="shared" si="75"/>
        <v>0</v>
      </c>
      <c r="J591" s="305">
        <f t="shared" si="75"/>
        <v>551</v>
      </c>
      <c r="K591" s="191">
        <f t="shared" si="54"/>
        <v>557</v>
      </c>
      <c r="L591" s="191">
        <v>248</v>
      </c>
      <c r="M591" s="191">
        <v>71</v>
      </c>
      <c r="N591" s="191">
        <v>82</v>
      </c>
      <c r="O591" s="312">
        <f t="shared" si="55"/>
        <v>401</v>
      </c>
      <c r="Q591" s="357">
        <f t="shared" si="56"/>
        <v>52570</v>
      </c>
      <c r="R591" s="313">
        <f t="shared" si="57"/>
        <v>10847</v>
      </c>
      <c r="S591" s="313">
        <f t="shared" si="58"/>
        <v>1514</v>
      </c>
      <c r="T591" s="313">
        <f t="shared" si="59"/>
        <v>9139</v>
      </c>
      <c r="X591" s="194">
        <f t="shared" si="60"/>
        <v>9690</v>
      </c>
      <c r="AA591" s="313"/>
      <c r="AB591" s="194"/>
      <c r="AC591" s="194"/>
      <c r="AD591" s="194"/>
    </row>
    <row r="592" spans="1:30" s="191" customFormat="1" ht="15.75">
      <c r="A592" s="302" t="s">
        <v>413</v>
      </c>
      <c r="B592" s="305">
        <f aca="true" t="shared" si="76" ref="B592:J592">B57+B334+B237</f>
        <v>194595</v>
      </c>
      <c r="C592" s="305">
        <f t="shared" si="76"/>
        <v>26071</v>
      </c>
      <c r="D592" s="305">
        <f t="shared" si="76"/>
        <v>24868</v>
      </c>
      <c r="E592" s="305">
        <f t="shared" si="76"/>
        <v>0</v>
      </c>
      <c r="F592" s="305">
        <f t="shared" si="76"/>
        <v>0</v>
      </c>
      <c r="G592" s="305">
        <f t="shared" si="76"/>
        <v>16978</v>
      </c>
      <c r="H592" s="305">
        <f t="shared" si="76"/>
        <v>43682</v>
      </c>
      <c r="I592" s="305">
        <f t="shared" si="76"/>
        <v>0</v>
      </c>
      <c r="J592" s="305">
        <f t="shared" si="76"/>
        <v>0</v>
      </c>
      <c r="K592" s="191">
        <f t="shared" si="54"/>
        <v>1312</v>
      </c>
      <c r="L592" s="191">
        <v>663</v>
      </c>
      <c r="M592" s="191">
        <v>202</v>
      </c>
      <c r="N592" s="191">
        <v>154</v>
      </c>
      <c r="O592" s="312">
        <f t="shared" si="55"/>
        <v>1019</v>
      </c>
      <c r="Q592" s="357">
        <f t="shared" si="56"/>
        <v>195907</v>
      </c>
      <c r="R592" s="313">
        <f t="shared" si="57"/>
        <v>26734</v>
      </c>
      <c r="S592" s="313">
        <f t="shared" si="58"/>
        <v>17180</v>
      </c>
      <c r="T592" s="313">
        <f t="shared" si="59"/>
        <v>43836</v>
      </c>
      <c r="X592" s="194">
        <f t="shared" si="60"/>
        <v>43836</v>
      </c>
      <c r="AA592" s="313"/>
      <c r="AB592" s="194"/>
      <c r="AC592" s="194"/>
      <c r="AD592" s="194"/>
    </row>
    <row r="593" spans="1:30" s="191" customFormat="1" ht="15.75">
      <c r="A593" s="302" t="s">
        <v>414</v>
      </c>
      <c r="B593" s="305">
        <f aca="true" t="shared" si="77" ref="B593:J593">B125+B296</f>
        <v>1125</v>
      </c>
      <c r="C593" s="305">
        <f t="shared" si="77"/>
        <v>0</v>
      </c>
      <c r="D593" s="305">
        <f t="shared" si="77"/>
        <v>325</v>
      </c>
      <c r="E593" s="305">
        <f t="shared" si="77"/>
        <v>0</v>
      </c>
      <c r="F593" s="305">
        <f t="shared" si="77"/>
        <v>0</v>
      </c>
      <c r="G593" s="305">
        <f t="shared" si="77"/>
        <v>0</v>
      </c>
      <c r="H593" s="305">
        <f t="shared" si="77"/>
        <v>276</v>
      </c>
      <c r="I593" s="305">
        <f t="shared" si="77"/>
        <v>0</v>
      </c>
      <c r="J593" s="305">
        <f t="shared" si="77"/>
        <v>0</v>
      </c>
      <c r="K593" s="191">
        <f t="shared" si="54"/>
        <v>38</v>
      </c>
      <c r="L593" s="191">
        <v>7</v>
      </c>
      <c r="M593" s="191">
        <v>2</v>
      </c>
      <c r="N593" s="191">
        <v>10</v>
      </c>
      <c r="O593" s="312">
        <f t="shared" si="55"/>
        <v>19</v>
      </c>
      <c r="Q593" s="313">
        <f t="shared" si="56"/>
        <v>1163</v>
      </c>
      <c r="R593" s="313">
        <f t="shared" si="57"/>
        <v>7</v>
      </c>
      <c r="S593" s="313">
        <f t="shared" si="58"/>
        <v>2</v>
      </c>
      <c r="T593" s="313">
        <f t="shared" si="59"/>
        <v>286</v>
      </c>
      <c r="X593" s="194">
        <f t="shared" si="60"/>
        <v>286</v>
      </c>
      <c r="AA593" s="308"/>
      <c r="AB593" s="194"/>
      <c r="AC593" s="194"/>
      <c r="AD593" s="194"/>
    </row>
    <row r="594" spans="1:30" s="191" customFormat="1" ht="15.75">
      <c r="A594" s="302" t="s">
        <v>415</v>
      </c>
      <c r="B594" s="305">
        <f aca="true" t="shared" si="78" ref="B594:J594">B126</f>
        <v>1210</v>
      </c>
      <c r="C594" s="305">
        <f t="shared" si="78"/>
        <v>0</v>
      </c>
      <c r="D594" s="305">
        <f t="shared" si="78"/>
        <v>346</v>
      </c>
      <c r="E594" s="305">
        <f t="shared" si="78"/>
        <v>0</v>
      </c>
      <c r="F594" s="305">
        <f t="shared" si="78"/>
        <v>0</v>
      </c>
      <c r="G594" s="305">
        <f t="shared" si="78"/>
        <v>0</v>
      </c>
      <c r="H594" s="305">
        <f t="shared" si="78"/>
        <v>298</v>
      </c>
      <c r="I594" s="305">
        <f t="shared" si="78"/>
        <v>0</v>
      </c>
      <c r="J594" s="305">
        <f t="shared" si="78"/>
        <v>0</v>
      </c>
      <c r="K594" s="191">
        <f t="shared" si="54"/>
        <v>61</v>
      </c>
      <c r="L594" s="191">
        <v>0</v>
      </c>
      <c r="M594" s="191">
        <v>0</v>
      </c>
      <c r="N594" s="191">
        <v>21</v>
      </c>
      <c r="O594" s="312">
        <f t="shared" si="55"/>
        <v>21</v>
      </c>
      <c r="Q594" s="313">
        <f t="shared" si="56"/>
        <v>1271</v>
      </c>
      <c r="R594" s="313">
        <f t="shared" si="57"/>
        <v>0</v>
      </c>
      <c r="S594" s="313">
        <f t="shared" si="58"/>
        <v>0</v>
      </c>
      <c r="T594" s="313">
        <f t="shared" si="59"/>
        <v>319</v>
      </c>
      <c r="X594" s="194">
        <f t="shared" si="60"/>
        <v>319</v>
      </c>
      <c r="AA594" s="313"/>
      <c r="AB594" s="194"/>
      <c r="AC594" s="194"/>
      <c r="AD594" s="194"/>
    </row>
    <row r="595" spans="1:30" s="191" customFormat="1" ht="15.75">
      <c r="A595" s="303" t="s">
        <v>416</v>
      </c>
      <c r="B595" s="305">
        <v>0</v>
      </c>
      <c r="C595" s="305">
        <v>0</v>
      </c>
      <c r="D595" s="305">
        <v>0</v>
      </c>
      <c r="E595" s="305">
        <v>0</v>
      </c>
      <c r="F595" s="305">
        <v>0</v>
      </c>
      <c r="G595" s="305">
        <v>0</v>
      </c>
      <c r="H595" s="305">
        <v>0</v>
      </c>
      <c r="I595" s="305">
        <v>0</v>
      </c>
      <c r="J595" s="305">
        <v>0</v>
      </c>
      <c r="K595" s="191">
        <f t="shared" si="54"/>
        <v>22</v>
      </c>
      <c r="L595" s="191">
        <v>7</v>
      </c>
      <c r="M595" s="191">
        <v>0</v>
      </c>
      <c r="N595" s="191">
        <v>5</v>
      </c>
      <c r="O595" s="312">
        <f t="shared" si="55"/>
        <v>12</v>
      </c>
      <c r="Q595" s="313">
        <f t="shared" si="56"/>
        <v>22</v>
      </c>
      <c r="R595" s="313">
        <f t="shared" si="57"/>
        <v>7</v>
      </c>
      <c r="S595" s="313">
        <f t="shared" si="58"/>
        <v>0</v>
      </c>
      <c r="T595" s="313">
        <f t="shared" si="59"/>
        <v>5</v>
      </c>
      <c r="X595" s="194">
        <f t="shared" si="60"/>
        <v>5</v>
      </c>
      <c r="AA595" s="308"/>
      <c r="AB595" s="194"/>
      <c r="AC595" s="194"/>
      <c r="AD595" s="194"/>
    </row>
    <row r="596" spans="1:30" s="191" customFormat="1" ht="15.75">
      <c r="A596" s="302" t="s">
        <v>33</v>
      </c>
      <c r="B596" s="305">
        <f aca="true" t="shared" si="79" ref="B596:J596">B66+B297+B520+B523+B527+B531+B539+B547+B543+B246</f>
        <v>243342</v>
      </c>
      <c r="C596" s="305">
        <f t="shared" si="79"/>
        <v>23827</v>
      </c>
      <c r="D596" s="305">
        <f t="shared" si="79"/>
        <v>66577</v>
      </c>
      <c r="E596" s="305">
        <f t="shared" si="79"/>
        <v>1636</v>
      </c>
      <c r="F596" s="305">
        <f t="shared" si="79"/>
        <v>0</v>
      </c>
      <c r="G596" s="305">
        <f t="shared" si="79"/>
        <v>13644</v>
      </c>
      <c r="H596" s="305">
        <f t="shared" si="79"/>
        <v>48033</v>
      </c>
      <c r="I596" s="305">
        <f t="shared" si="79"/>
        <v>0</v>
      </c>
      <c r="J596" s="305">
        <f t="shared" si="79"/>
        <v>0</v>
      </c>
      <c r="K596" s="191">
        <f t="shared" si="54"/>
        <v>1002</v>
      </c>
      <c r="L596" s="191">
        <v>346</v>
      </c>
      <c r="M596" s="191">
        <v>502</v>
      </c>
      <c r="N596" s="191">
        <v>53</v>
      </c>
      <c r="O596" s="312">
        <f t="shared" si="55"/>
        <v>901</v>
      </c>
      <c r="Q596" s="357">
        <f t="shared" si="56"/>
        <v>244344</v>
      </c>
      <c r="R596" s="313">
        <f t="shared" si="57"/>
        <v>24173</v>
      </c>
      <c r="S596" s="313">
        <f t="shared" si="58"/>
        <v>14146</v>
      </c>
      <c r="T596" s="313">
        <f t="shared" si="59"/>
        <v>48086</v>
      </c>
      <c r="U596" s="194">
        <f>R596+R602</f>
        <v>24181</v>
      </c>
      <c r="V596" s="194">
        <f>S596+S602</f>
        <v>14204</v>
      </c>
      <c r="W596" s="194">
        <f>T596+T602</f>
        <v>48376</v>
      </c>
      <c r="X596" s="194">
        <f t="shared" si="60"/>
        <v>48086</v>
      </c>
      <c r="AA596" s="313"/>
      <c r="AB596" s="194"/>
      <c r="AC596" s="194"/>
      <c r="AD596" s="194"/>
    </row>
    <row r="597" spans="1:30" s="191" customFormat="1" ht="15.75">
      <c r="A597" s="302" t="s">
        <v>424</v>
      </c>
      <c r="B597" s="305">
        <f aca="true" t="shared" si="80" ref="B597:J597">B75+B103+B166+B300+B104+B264+B332</f>
        <v>72320</v>
      </c>
      <c r="C597" s="305">
        <f t="shared" si="80"/>
        <v>20137</v>
      </c>
      <c r="D597" s="305">
        <f t="shared" si="80"/>
        <v>37225</v>
      </c>
      <c r="E597" s="305">
        <f t="shared" si="80"/>
        <v>0</v>
      </c>
      <c r="F597" s="305">
        <f t="shared" si="80"/>
        <v>0</v>
      </c>
      <c r="G597" s="305">
        <f t="shared" si="80"/>
        <v>1702</v>
      </c>
      <c r="H597" s="305">
        <f t="shared" si="80"/>
        <v>4572</v>
      </c>
      <c r="I597" s="305">
        <f t="shared" si="80"/>
        <v>0</v>
      </c>
      <c r="J597" s="305">
        <f t="shared" si="80"/>
        <v>0</v>
      </c>
      <c r="K597" s="191">
        <f t="shared" si="54"/>
        <v>0</v>
      </c>
      <c r="L597" s="191">
        <v>0</v>
      </c>
      <c r="M597" s="191">
        <v>0</v>
      </c>
      <c r="N597" s="191">
        <v>0</v>
      </c>
      <c r="O597" s="312">
        <f t="shared" si="55"/>
        <v>0</v>
      </c>
      <c r="Q597" s="357">
        <f t="shared" si="56"/>
        <v>72320</v>
      </c>
      <c r="R597" s="313">
        <f t="shared" si="57"/>
        <v>20137</v>
      </c>
      <c r="S597" s="313">
        <f t="shared" si="58"/>
        <v>1702</v>
      </c>
      <c r="T597" s="313">
        <f t="shared" si="59"/>
        <v>4572</v>
      </c>
      <c r="X597" s="194">
        <f t="shared" si="60"/>
        <v>4572</v>
      </c>
      <c r="AA597" s="308"/>
      <c r="AB597" s="194"/>
      <c r="AC597" s="194"/>
      <c r="AD597" s="194"/>
    </row>
    <row r="598" spans="1:30" s="191" customFormat="1" ht="15.75">
      <c r="A598" s="302" t="s">
        <v>417</v>
      </c>
      <c r="B598" s="305">
        <f aca="true" t="shared" si="81" ref="B598:J598">B76+B137+B164+B309+B335+B127</f>
        <v>251866</v>
      </c>
      <c r="C598" s="305">
        <f t="shared" si="81"/>
        <v>65911</v>
      </c>
      <c r="D598" s="305">
        <f t="shared" si="81"/>
        <v>28672</v>
      </c>
      <c r="E598" s="305">
        <f t="shared" si="81"/>
        <v>0</v>
      </c>
      <c r="F598" s="305">
        <f t="shared" si="81"/>
        <v>0</v>
      </c>
      <c r="G598" s="305">
        <f t="shared" si="81"/>
        <v>15741</v>
      </c>
      <c r="H598" s="305">
        <f t="shared" si="81"/>
        <v>42753</v>
      </c>
      <c r="I598" s="305">
        <f t="shared" si="81"/>
        <v>0</v>
      </c>
      <c r="J598" s="305">
        <f t="shared" si="81"/>
        <v>17559</v>
      </c>
      <c r="K598" s="191">
        <f t="shared" si="54"/>
        <v>4546</v>
      </c>
      <c r="L598" s="191">
        <v>2493</v>
      </c>
      <c r="M598" s="191">
        <v>403</v>
      </c>
      <c r="N598" s="191">
        <v>569</v>
      </c>
      <c r="O598" s="312">
        <f>SUM(L598:N598)</f>
        <v>3465</v>
      </c>
      <c r="Q598" s="357">
        <f t="shared" si="56"/>
        <v>256412</v>
      </c>
      <c r="R598" s="313">
        <f t="shared" si="57"/>
        <v>68404</v>
      </c>
      <c r="S598" s="313">
        <f t="shared" si="58"/>
        <v>16144</v>
      </c>
      <c r="T598" s="313">
        <f>H598+N598</f>
        <v>43322</v>
      </c>
      <c r="U598" s="194">
        <f>R598+R577</f>
        <v>68404</v>
      </c>
      <c r="V598" s="194">
        <f>S598+S577</f>
        <v>16913</v>
      </c>
      <c r="W598" s="194">
        <f>T598+T577</f>
        <v>47321</v>
      </c>
      <c r="X598" s="194">
        <f t="shared" si="60"/>
        <v>60881</v>
      </c>
      <c r="AA598" s="313"/>
      <c r="AB598" s="194"/>
      <c r="AC598" s="194"/>
      <c r="AD598" s="194"/>
    </row>
    <row r="599" spans="1:30" s="191" customFormat="1" ht="15.75">
      <c r="A599" s="302" t="s">
        <v>418</v>
      </c>
      <c r="B599" s="305">
        <f aca="true" t="shared" si="82" ref="B599:J599">B85+B318+B255+B128</f>
        <v>47794</v>
      </c>
      <c r="C599" s="305">
        <f t="shared" si="82"/>
        <v>6881</v>
      </c>
      <c r="D599" s="305">
        <f t="shared" si="82"/>
        <v>12505</v>
      </c>
      <c r="E599" s="305">
        <f t="shared" si="82"/>
        <v>700</v>
      </c>
      <c r="F599" s="305">
        <f t="shared" si="82"/>
        <v>0</v>
      </c>
      <c r="G599" s="305">
        <f t="shared" si="82"/>
        <v>3344</v>
      </c>
      <c r="H599" s="305">
        <f t="shared" si="82"/>
        <v>8616</v>
      </c>
      <c r="I599" s="305">
        <f t="shared" si="82"/>
        <v>0</v>
      </c>
      <c r="J599" s="305">
        <f t="shared" si="82"/>
        <v>77</v>
      </c>
      <c r="K599" s="191">
        <f t="shared" si="54"/>
        <v>1058</v>
      </c>
      <c r="L599" s="191">
        <v>296</v>
      </c>
      <c r="M599" s="191">
        <v>202</v>
      </c>
      <c r="N599" s="191">
        <v>193</v>
      </c>
      <c r="O599" s="312">
        <f t="shared" si="55"/>
        <v>691</v>
      </c>
      <c r="Q599" s="313">
        <f t="shared" si="56"/>
        <v>48852</v>
      </c>
      <c r="R599" s="313">
        <f t="shared" si="57"/>
        <v>7177</v>
      </c>
      <c r="S599" s="313">
        <f t="shared" si="58"/>
        <v>3546</v>
      </c>
      <c r="T599" s="313">
        <f t="shared" si="59"/>
        <v>8809</v>
      </c>
      <c r="X599" s="194">
        <f t="shared" si="60"/>
        <v>8886</v>
      </c>
      <c r="AA599" s="308"/>
      <c r="AB599" s="194"/>
      <c r="AC599" s="194"/>
      <c r="AD599" s="194"/>
    </row>
    <row r="600" spans="1:30" s="191" customFormat="1" ht="15.75">
      <c r="A600" s="302" t="s">
        <v>419</v>
      </c>
      <c r="B600" s="305">
        <f>B94+B319+B535+B534+B180+B129+B167</f>
        <v>20379</v>
      </c>
      <c r="C600" s="305">
        <f>C94+C319+C535+C534+C180+C129+C167</f>
        <v>5054</v>
      </c>
      <c r="D600" s="305">
        <f>D94+D319+D535+D534+D180+D129+D167</f>
        <v>5034</v>
      </c>
      <c r="E600" s="305">
        <f aca="true" t="shared" si="83" ref="E600:J600">E94+E319+E535+E534+E180+E129+E167</f>
        <v>1110</v>
      </c>
      <c r="F600" s="305">
        <f t="shared" si="83"/>
        <v>1000</v>
      </c>
      <c r="G600" s="305">
        <f t="shared" si="83"/>
        <v>756</v>
      </c>
      <c r="H600" s="305">
        <f t="shared" si="83"/>
        <v>3251</v>
      </c>
      <c r="I600" s="305">
        <f t="shared" si="83"/>
        <v>0</v>
      </c>
      <c r="J600" s="305">
        <f t="shared" si="83"/>
        <v>107</v>
      </c>
      <c r="K600" s="191">
        <f t="shared" si="54"/>
        <v>188</v>
      </c>
      <c r="L600" s="191">
        <v>41</v>
      </c>
      <c r="M600" s="191">
        <v>54</v>
      </c>
      <c r="N600" s="191">
        <v>32</v>
      </c>
      <c r="O600" s="312">
        <f t="shared" si="55"/>
        <v>127</v>
      </c>
      <c r="Q600" s="357">
        <f t="shared" si="56"/>
        <v>20567</v>
      </c>
      <c r="R600" s="313">
        <f t="shared" si="57"/>
        <v>5095</v>
      </c>
      <c r="S600" s="313">
        <f t="shared" si="58"/>
        <v>810</v>
      </c>
      <c r="T600" s="313">
        <f t="shared" si="59"/>
        <v>3283</v>
      </c>
      <c r="X600" s="194">
        <f t="shared" si="60"/>
        <v>3390</v>
      </c>
      <c r="AA600" s="313"/>
      <c r="AB600" s="194"/>
      <c r="AC600" s="194"/>
      <c r="AD600" s="194"/>
    </row>
    <row r="601" spans="1:30" s="191" customFormat="1" ht="15.75">
      <c r="A601" s="302" t="s">
        <v>420</v>
      </c>
      <c r="B601" s="305">
        <f aca="true" t="shared" si="84" ref="B601:J601">B105+B328+B536+B189+B130</f>
        <v>40714</v>
      </c>
      <c r="C601" s="305">
        <f t="shared" si="84"/>
        <v>6720</v>
      </c>
      <c r="D601" s="305">
        <f t="shared" si="84"/>
        <v>9806</v>
      </c>
      <c r="E601" s="305">
        <f t="shared" si="84"/>
        <v>218</v>
      </c>
      <c r="F601" s="305">
        <f t="shared" si="84"/>
        <v>0</v>
      </c>
      <c r="G601" s="305">
        <f t="shared" si="84"/>
        <v>5693</v>
      </c>
      <c r="H601" s="305">
        <f t="shared" si="84"/>
        <v>6230</v>
      </c>
      <c r="I601" s="305">
        <f t="shared" si="84"/>
        <v>0</v>
      </c>
      <c r="J601" s="305">
        <f t="shared" si="84"/>
        <v>428</v>
      </c>
      <c r="K601" s="191">
        <f t="shared" si="54"/>
        <v>3083</v>
      </c>
      <c r="L601" s="191">
        <v>989</v>
      </c>
      <c r="M601" s="191">
        <v>516</v>
      </c>
      <c r="N601" s="191">
        <v>544</v>
      </c>
      <c r="O601" s="312">
        <f t="shared" si="55"/>
        <v>2049</v>
      </c>
      <c r="Q601" s="357">
        <f t="shared" si="56"/>
        <v>43797</v>
      </c>
      <c r="R601" s="313">
        <f t="shared" si="57"/>
        <v>7709</v>
      </c>
      <c r="S601" s="313">
        <f t="shared" si="58"/>
        <v>6209</v>
      </c>
      <c r="T601" s="313">
        <f t="shared" si="59"/>
        <v>6774</v>
      </c>
      <c r="X601" s="194">
        <f t="shared" si="60"/>
        <v>7202</v>
      </c>
      <c r="AA601" s="313"/>
      <c r="AB601" s="194"/>
      <c r="AC601" s="194"/>
      <c r="AD601" s="194"/>
    </row>
    <row r="602" spans="1:30" s="191" customFormat="1" ht="15.75">
      <c r="A602" s="303" t="s">
        <v>421</v>
      </c>
      <c r="B602" s="305">
        <f>B329</f>
        <v>1211</v>
      </c>
      <c r="C602" s="305">
        <f aca="true" t="shared" si="85" ref="C602:J602">C329</f>
        <v>0</v>
      </c>
      <c r="D602" s="305">
        <f t="shared" si="85"/>
        <v>329</v>
      </c>
      <c r="E602" s="305">
        <f t="shared" si="85"/>
        <v>0</v>
      </c>
      <c r="F602" s="305">
        <f t="shared" si="85"/>
        <v>0</v>
      </c>
      <c r="G602" s="305">
        <f t="shared" si="85"/>
        <v>58</v>
      </c>
      <c r="H602" s="305">
        <f t="shared" si="85"/>
        <v>284</v>
      </c>
      <c r="I602" s="305">
        <f t="shared" si="85"/>
        <v>0</v>
      </c>
      <c r="J602" s="305">
        <f t="shared" si="85"/>
        <v>0</v>
      </c>
      <c r="K602" s="191">
        <f>ROUND(L602+M602+N602*2.9,0)+1</f>
        <v>26</v>
      </c>
      <c r="L602" s="191">
        <v>8</v>
      </c>
      <c r="M602" s="191">
        <v>0</v>
      </c>
      <c r="N602" s="191">
        <v>6</v>
      </c>
      <c r="O602" s="312">
        <f t="shared" si="55"/>
        <v>14</v>
      </c>
      <c r="Q602" s="313">
        <f t="shared" si="56"/>
        <v>1237</v>
      </c>
      <c r="R602" s="313">
        <f t="shared" si="57"/>
        <v>8</v>
      </c>
      <c r="S602" s="313">
        <f t="shared" si="58"/>
        <v>58</v>
      </c>
      <c r="T602" s="313">
        <f t="shared" si="59"/>
        <v>290</v>
      </c>
      <c r="X602" s="194">
        <f t="shared" si="60"/>
        <v>290</v>
      </c>
      <c r="AA602" s="308"/>
      <c r="AB602" s="194"/>
      <c r="AC602" s="194"/>
      <c r="AD602" s="194"/>
    </row>
    <row r="603" spans="1:30" s="191" customFormat="1" ht="15.75">
      <c r="A603" s="302" t="s">
        <v>422</v>
      </c>
      <c r="B603" s="305">
        <f aca="true" t="shared" si="86" ref="B603:J603">B114+B330+B198+B140</f>
        <v>27329</v>
      </c>
      <c r="C603" s="305">
        <f t="shared" si="86"/>
        <v>4381</v>
      </c>
      <c r="D603" s="305">
        <f t="shared" si="86"/>
        <v>5954</v>
      </c>
      <c r="E603" s="305">
        <f t="shared" si="86"/>
        <v>941</v>
      </c>
      <c r="F603" s="305">
        <f t="shared" si="86"/>
        <v>0</v>
      </c>
      <c r="G603" s="305">
        <f t="shared" si="86"/>
        <v>713</v>
      </c>
      <c r="H603" s="305">
        <f t="shared" si="86"/>
        <v>3853</v>
      </c>
      <c r="I603" s="305">
        <f t="shared" si="86"/>
        <v>0</v>
      </c>
      <c r="J603" s="305">
        <f t="shared" si="86"/>
        <v>5107</v>
      </c>
      <c r="K603" s="191">
        <f t="shared" si="54"/>
        <v>249</v>
      </c>
      <c r="L603" s="191">
        <v>43</v>
      </c>
      <c r="M603" s="191">
        <v>20</v>
      </c>
      <c r="N603" s="191">
        <v>64</v>
      </c>
      <c r="O603" s="312">
        <f t="shared" si="55"/>
        <v>127</v>
      </c>
      <c r="Q603" s="357">
        <f t="shared" si="56"/>
        <v>27578</v>
      </c>
      <c r="R603" s="313">
        <f t="shared" si="57"/>
        <v>4424</v>
      </c>
      <c r="S603" s="313">
        <f t="shared" si="58"/>
        <v>733</v>
      </c>
      <c r="T603" s="313">
        <f t="shared" si="59"/>
        <v>3917</v>
      </c>
      <c r="X603" s="194">
        <f t="shared" si="60"/>
        <v>9024</v>
      </c>
      <c r="AA603" s="313"/>
      <c r="AB603" s="194"/>
      <c r="AC603" s="194"/>
      <c r="AD603" s="194"/>
    </row>
    <row r="604" spans="1:30" s="191" customFormat="1" ht="15.75">
      <c r="A604" s="306" t="s">
        <v>30</v>
      </c>
      <c r="B604" s="307">
        <f>SUM(B575:B603)</f>
        <v>1237131</v>
      </c>
      <c r="C604" s="307">
        <f aca="true" t="shared" si="87" ref="C604:J604">SUM(C575:C603)</f>
        <v>207088</v>
      </c>
      <c r="D604" s="307">
        <f t="shared" si="87"/>
        <v>279412</v>
      </c>
      <c r="E604" s="307">
        <f t="shared" si="87"/>
        <v>11587</v>
      </c>
      <c r="F604" s="307">
        <f t="shared" si="87"/>
        <v>3960</v>
      </c>
      <c r="G604" s="307">
        <f t="shared" si="87"/>
        <v>68824</v>
      </c>
      <c r="H604" s="307">
        <f t="shared" si="87"/>
        <v>222839</v>
      </c>
      <c r="I604" s="307">
        <f t="shared" si="87"/>
        <v>407</v>
      </c>
      <c r="J604" s="307">
        <f t="shared" si="87"/>
        <v>34393</v>
      </c>
      <c r="K604" s="637">
        <f>SUM(K575:K603)</f>
        <v>15842</v>
      </c>
      <c r="L604" s="637">
        <f>SUM(L575:L603)</f>
        <v>6900</v>
      </c>
      <c r="M604" s="637">
        <f>SUM(M575:M603)</f>
        <v>2133</v>
      </c>
      <c r="N604" s="637">
        <f>SUM(N575:N603)</f>
        <v>2346</v>
      </c>
      <c r="O604" s="312"/>
      <c r="Q604" s="314">
        <f>SUM(Q575:Q603)</f>
        <v>1252973</v>
      </c>
      <c r="R604" s="314">
        <f t="shared" si="57"/>
        <v>213988</v>
      </c>
      <c r="S604" s="314">
        <f t="shared" si="58"/>
        <v>70957</v>
      </c>
      <c r="T604" s="314">
        <f t="shared" si="59"/>
        <v>225185</v>
      </c>
      <c r="AA604" s="308"/>
      <c r="AB604" s="308"/>
      <c r="AC604" s="308"/>
      <c r="AD604" s="308"/>
    </row>
    <row r="605" spans="2:30" s="191" customFormat="1" ht="15">
      <c r="B605" s="194">
        <f>B604-(B559-B558)</f>
        <v>0</v>
      </c>
      <c r="C605" s="194">
        <f>C604-(C559-C558)</f>
        <v>0</v>
      </c>
      <c r="D605" s="194">
        <f>D604-(D559-D558)</f>
        <v>0</v>
      </c>
      <c r="E605" s="194">
        <f aca="true" t="shared" si="88" ref="E605:J605">E604-(E559-E558)</f>
        <v>0</v>
      </c>
      <c r="F605" s="194">
        <f t="shared" si="88"/>
        <v>0</v>
      </c>
      <c r="G605" s="194">
        <f t="shared" si="88"/>
        <v>0</v>
      </c>
      <c r="H605" s="194">
        <f t="shared" si="88"/>
        <v>0</v>
      </c>
      <c r="I605" s="194">
        <f t="shared" si="88"/>
        <v>0</v>
      </c>
      <c r="J605" s="194">
        <f t="shared" si="88"/>
        <v>0</v>
      </c>
      <c r="K605" s="311">
        <f>K604-B558</f>
        <v>0</v>
      </c>
      <c r="L605" s="311">
        <f>L604-C558</f>
        <v>6900</v>
      </c>
      <c r="M605" s="311">
        <f>M604-G558</f>
        <v>0</v>
      </c>
      <c r="N605" s="311">
        <f>N604-H558</f>
        <v>0</v>
      </c>
      <c r="R605" s="313">
        <f>R604-C559</f>
        <v>6900</v>
      </c>
      <c r="S605" s="313">
        <f>S604-G559</f>
        <v>0</v>
      </c>
      <c r="T605" s="313">
        <f>T604-H559</f>
        <v>0</v>
      </c>
      <c r="AA605" s="308"/>
      <c r="AC605" s="194"/>
      <c r="AD605" s="308"/>
    </row>
    <row r="606" spans="1:30" s="191" customFormat="1" ht="15">
      <c r="A606" s="191" t="s">
        <v>442</v>
      </c>
      <c r="B606" s="194">
        <f>SUM(C606:J606)</f>
        <v>1028862.1</v>
      </c>
      <c r="C606" s="633">
        <f>C604-C585-C560</f>
        <v>0</v>
      </c>
      <c r="D606" s="194">
        <f>D604-D585-D560</f>
        <v>279412</v>
      </c>
      <c r="E606" s="634"/>
      <c r="F606" s="634"/>
      <c r="G606" s="633">
        <f>G604-G585</f>
        <v>68824</v>
      </c>
      <c r="H606" s="194">
        <f>(H604-H585)*2.9</f>
        <v>646233.1</v>
      </c>
      <c r="I606" s="633"/>
      <c r="J606" s="194">
        <f>J604</f>
        <v>34393</v>
      </c>
      <c r="M606" s="194"/>
      <c r="O606" s="194"/>
      <c r="P606" s="194"/>
      <c r="Q606" s="194"/>
      <c r="R606" s="194"/>
      <c r="S606" s="194"/>
      <c r="AA606" s="194"/>
      <c r="AB606" s="194"/>
      <c r="AC606" s="194"/>
      <c r="AD606" s="194"/>
    </row>
    <row r="607" spans="1:24" s="191" customFormat="1" ht="15">
      <c r="A607" s="191" t="s">
        <v>440</v>
      </c>
      <c r="B607" s="194">
        <f>SUM(C607:J607)</f>
        <v>11379</v>
      </c>
      <c r="C607" s="633">
        <f>C558</f>
        <v>0</v>
      </c>
      <c r="D607" s="194">
        <f>D558</f>
        <v>6900</v>
      </c>
      <c r="E607" s="634"/>
      <c r="F607" s="634"/>
      <c r="G607" s="633">
        <f>G558</f>
        <v>2133</v>
      </c>
      <c r="H607" s="194">
        <f>H558</f>
        <v>2346</v>
      </c>
      <c r="I607" s="633"/>
      <c r="J607" s="194">
        <f>J558</f>
        <v>0</v>
      </c>
      <c r="Q607" s="194">
        <f>Q577+Q578+Q579+Q584+Q587+Q588+Q593+Q594+Q595+Q599+Q602</f>
        <v>88755</v>
      </c>
      <c r="R607" s="194">
        <f>R598+R577</f>
        <v>68404</v>
      </c>
      <c r="S607" s="194">
        <f>S598+S577</f>
        <v>16913</v>
      </c>
      <c r="T607" s="194">
        <f>T598+T577</f>
        <v>47321</v>
      </c>
      <c r="U607" s="194"/>
      <c r="X607" s="194">
        <f>X598+X577</f>
        <v>64880</v>
      </c>
    </row>
    <row r="608" spans="1:10" s="191" customFormat="1" ht="15">
      <c r="A608" s="191" t="s">
        <v>441</v>
      </c>
      <c r="B608" s="194">
        <f>SUM(C608:H608)</f>
        <v>0</v>
      </c>
      <c r="C608" s="638">
        <f>'1.1. ПРОФ.МЕРОПРИЯТИЯ (КП)'!B25+'1.1. ПРОФ.МЕРОПРИЯТИЯ (КП)'!H25</f>
        <v>0</v>
      </c>
      <c r="D608" s="311">
        <f>'1.1. ПРОФ.МЕРОПРИЯТИЯ (КП)'!C25+'1.1. ПРОФ.МЕРОПРИЯТИЯ (КП)'!I25</f>
        <v>0</v>
      </c>
      <c r="E608" s="639"/>
      <c r="F608" s="639"/>
      <c r="G608" s="640"/>
      <c r="H608" s="194">
        <f>H585*2.9</f>
        <v>0</v>
      </c>
      <c r="I608" s="633"/>
      <c r="J608" s="194">
        <f>J585*10</f>
        <v>0</v>
      </c>
    </row>
    <row r="609" spans="1:18" s="191" customFormat="1" ht="15">
      <c r="A609" s="191" t="s">
        <v>425</v>
      </c>
      <c r="B609" s="308">
        <f>SUM(B606:B608)</f>
        <v>1040241.1</v>
      </c>
      <c r="C609" s="633">
        <f>C559-C558</f>
        <v>207088</v>
      </c>
      <c r="D609" s="194">
        <f>D559-D558</f>
        <v>279412</v>
      </c>
      <c r="E609" s="634"/>
      <c r="F609" s="634"/>
      <c r="G609" s="640"/>
      <c r="H609" s="194"/>
      <c r="I609" s="633"/>
      <c r="J609" s="194"/>
      <c r="R609" s="191">
        <v>28054</v>
      </c>
    </row>
    <row r="610" spans="3:18" s="191" customFormat="1" ht="15">
      <c r="C610" s="640"/>
      <c r="E610" s="641"/>
      <c r="F610" s="641"/>
      <c r="G610" s="640"/>
      <c r="H610" s="194"/>
      <c r="I610" s="633"/>
      <c r="J610" s="194"/>
      <c r="R610" s="191">
        <v>2666</v>
      </c>
    </row>
    <row r="611" spans="3:18" s="191" customFormat="1" ht="15">
      <c r="C611" s="640"/>
      <c r="E611" s="641"/>
      <c r="F611" s="641"/>
      <c r="G611" s="640"/>
      <c r="H611" s="194"/>
      <c r="I611" s="633"/>
      <c r="J611" s="194"/>
      <c r="R611" s="191">
        <v>60044</v>
      </c>
    </row>
    <row r="612" spans="3:20" s="191" customFormat="1" ht="15">
      <c r="C612" s="640"/>
      <c r="E612" s="641"/>
      <c r="F612" s="641"/>
      <c r="G612" s="640"/>
      <c r="H612" s="194"/>
      <c r="I612" s="633"/>
      <c r="J612" s="194"/>
      <c r="Q612" s="308">
        <f>R612+S612+T612+J604</f>
        <v>1063138.5</v>
      </c>
      <c r="R612" s="313">
        <f>R611+R610+R609+R604</f>
        <v>304752</v>
      </c>
      <c r="S612" s="313">
        <f>S611+S610+S609+S604</f>
        <v>70957</v>
      </c>
      <c r="T612" s="313">
        <f>T604*2.9</f>
        <v>653036.5</v>
      </c>
    </row>
    <row r="613" spans="3:10" s="191" customFormat="1" ht="15">
      <c r="C613" s="640"/>
      <c r="E613" s="641"/>
      <c r="F613" s="641"/>
      <c r="G613" s="640"/>
      <c r="H613" s="194"/>
      <c r="I613" s="633"/>
      <c r="J613" s="194"/>
    </row>
    <row r="614" spans="3:10" s="191" customFormat="1" ht="15">
      <c r="C614" s="640"/>
      <c r="E614" s="641"/>
      <c r="F614" s="641"/>
      <c r="G614" s="640"/>
      <c r="H614" s="194"/>
      <c r="I614" s="633"/>
      <c r="J614" s="194"/>
    </row>
    <row r="615" spans="3:10" s="191" customFormat="1" ht="15">
      <c r="C615" s="640"/>
      <c r="E615" s="641"/>
      <c r="F615" s="641"/>
      <c r="G615" s="640"/>
      <c r="H615" s="194"/>
      <c r="I615" s="633"/>
      <c r="J615" s="194"/>
    </row>
    <row r="616" spans="3:10" s="191" customFormat="1" ht="15">
      <c r="C616" s="640"/>
      <c r="E616" s="641"/>
      <c r="F616" s="641"/>
      <c r="G616" s="640"/>
      <c r="H616" s="194"/>
      <c r="I616" s="633"/>
      <c r="J616" s="194"/>
    </row>
    <row r="617" spans="3:10" s="191" customFormat="1" ht="15">
      <c r="C617" s="640"/>
      <c r="E617" s="641"/>
      <c r="F617" s="641"/>
      <c r="G617" s="640"/>
      <c r="H617" s="194"/>
      <c r="I617" s="633"/>
      <c r="J617" s="194"/>
    </row>
    <row r="618" spans="3:10" s="191" customFormat="1" ht="15">
      <c r="C618" s="640"/>
      <c r="E618" s="641"/>
      <c r="F618" s="641"/>
      <c r="G618" s="640"/>
      <c r="H618" s="194"/>
      <c r="I618" s="633"/>
      <c r="J618" s="194"/>
    </row>
    <row r="619" spans="3:10" s="191" customFormat="1" ht="15">
      <c r="C619" s="640"/>
      <c r="E619" s="641"/>
      <c r="F619" s="641"/>
      <c r="G619" s="640"/>
      <c r="H619" s="194"/>
      <c r="I619" s="633"/>
      <c r="J619" s="194"/>
    </row>
    <row r="620" spans="3:10" s="191" customFormat="1" ht="15">
      <c r="C620" s="640"/>
      <c r="E620" s="641"/>
      <c r="F620" s="641"/>
      <c r="G620" s="640"/>
      <c r="H620" s="194"/>
      <c r="I620" s="633"/>
      <c r="J620" s="194"/>
    </row>
    <row r="621" spans="3:10" s="191" customFormat="1" ht="15">
      <c r="C621" s="640"/>
      <c r="E621" s="641"/>
      <c r="F621" s="641"/>
      <c r="G621" s="640"/>
      <c r="H621" s="194"/>
      <c r="I621" s="633"/>
      <c r="J621" s="194"/>
    </row>
    <row r="622" spans="3:10" s="191" customFormat="1" ht="15">
      <c r="C622" s="640"/>
      <c r="E622" s="641"/>
      <c r="F622" s="641"/>
      <c r="G622" s="640"/>
      <c r="H622" s="194"/>
      <c r="I622" s="633"/>
      <c r="J622" s="194"/>
    </row>
    <row r="623" spans="3:10" s="191" customFormat="1" ht="15">
      <c r="C623" s="640"/>
      <c r="E623" s="641"/>
      <c r="F623" s="641"/>
      <c r="G623" s="640"/>
      <c r="H623" s="194"/>
      <c r="I623" s="633"/>
      <c r="J623" s="194"/>
    </row>
    <row r="624" spans="3:10" s="191" customFormat="1" ht="15">
      <c r="C624" s="640"/>
      <c r="E624" s="641"/>
      <c r="F624" s="641"/>
      <c r="G624" s="640"/>
      <c r="H624" s="194"/>
      <c r="I624" s="633"/>
      <c r="J624" s="194"/>
    </row>
    <row r="625" spans="3:10" s="191" customFormat="1" ht="15">
      <c r="C625" s="640"/>
      <c r="E625" s="641"/>
      <c r="F625" s="641"/>
      <c r="G625" s="640"/>
      <c r="H625" s="194"/>
      <c r="I625" s="633"/>
      <c r="J625" s="194"/>
    </row>
    <row r="626" spans="3:10" s="191" customFormat="1" ht="15">
      <c r="C626" s="640"/>
      <c r="E626" s="641"/>
      <c r="F626" s="641"/>
      <c r="G626" s="640"/>
      <c r="H626" s="194"/>
      <c r="I626" s="633"/>
      <c r="J626" s="194"/>
    </row>
    <row r="627" spans="3:10" s="191" customFormat="1" ht="15">
      <c r="C627" s="640"/>
      <c r="E627" s="641"/>
      <c r="F627" s="641"/>
      <c r="G627" s="640"/>
      <c r="H627" s="194"/>
      <c r="I627" s="633"/>
      <c r="J627" s="194"/>
    </row>
    <row r="628" spans="3:10" s="191" customFormat="1" ht="15">
      <c r="C628" s="640"/>
      <c r="E628" s="641"/>
      <c r="F628" s="641"/>
      <c r="G628" s="640"/>
      <c r="H628" s="194"/>
      <c r="I628" s="633"/>
      <c r="J628" s="194"/>
    </row>
    <row r="629" spans="3:10" s="191" customFormat="1" ht="15">
      <c r="C629" s="640"/>
      <c r="E629" s="641"/>
      <c r="F629" s="641"/>
      <c r="G629" s="640"/>
      <c r="H629" s="194"/>
      <c r="I629" s="633"/>
      <c r="J629" s="194"/>
    </row>
    <row r="630" spans="3:10" s="191" customFormat="1" ht="15">
      <c r="C630" s="640"/>
      <c r="E630" s="641"/>
      <c r="F630" s="641"/>
      <c r="G630" s="640"/>
      <c r="H630" s="194"/>
      <c r="I630" s="633"/>
      <c r="J630" s="194"/>
    </row>
    <row r="631" spans="3:10" s="191" customFormat="1" ht="15">
      <c r="C631" s="640"/>
      <c r="E631" s="641"/>
      <c r="F631" s="641"/>
      <c r="G631" s="640"/>
      <c r="H631" s="194"/>
      <c r="I631" s="633"/>
      <c r="J631" s="194"/>
    </row>
    <row r="632" spans="3:10" s="191" customFormat="1" ht="15">
      <c r="C632" s="640"/>
      <c r="E632" s="641"/>
      <c r="F632" s="641"/>
      <c r="G632" s="640"/>
      <c r="H632" s="194"/>
      <c r="I632" s="633"/>
      <c r="J632" s="194"/>
    </row>
    <row r="633" spans="3:10" s="191" customFormat="1" ht="15">
      <c r="C633" s="640"/>
      <c r="E633" s="641"/>
      <c r="F633" s="641"/>
      <c r="G633" s="640"/>
      <c r="H633" s="194"/>
      <c r="I633" s="633"/>
      <c r="J633" s="194"/>
    </row>
    <row r="634" spans="3:10" s="191" customFormat="1" ht="15">
      <c r="C634" s="640"/>
      <c r="E634" s="641"/>
      <c r="F634" s="641"/>
      <c r="G634" s="640"/>
      <c r="H634" s="194"/>
      <c r="I634" s="633"/>
      <c r="J634" s="194"/>
    </row>
    <row r="635" spans="3:10" s="191" customFormat="1" ht="15">
      <c r="C635" s="640"/>
      <c r="E635" s="641"/>
      <c r="F635" s="641"/>
      <c r="G635" s="640"/>
      <c r="H635" s="194"/>
      <c r="I635" s="633"/>
      <c r="J635" s="194"/>
    </row>
    <row r="636" spans="3:10" s="191" customFormat="1" ht="15">
      <c r="C636" s="640"/>
      <c r="E636" s="641"/>
      <c r="F636" s="641"/>
      <c r="G636" s="640"/>
      <c r="H636" s="194"/>
      <c r="I636" s="633"/>
      <c r="J636" s="194"/>
    </row>
    <row r="637" spans="3:10" s="191" customFormat="1" ht="15">
      <c r="C637" s="640"/>
      <c r="E637" s="641"/>
      <c r="F637" s="641"/>
      <c r="G637" s="640"/>
      <c r="H637" s="194"/>
      <c r="I637" s="633"/>
      <c r="J637" s="194"/>
    </row>
    <row r="638" spans="3:10" s="191" customFormat="1" ht="15">
      <c r="C638" s="640"/>
      <c r="E638" s="641"/>
      <c r="F638" s="641"/>
      <c r="G638" s="640"/>
      <c r="H638" s="194"/>
      <c r="I638" s="633"/>
      <c r="J638" s="194"/>
    </row>
    <row r="639" spans="3:10" s="191" customFormat="1" ht="15">
      <c r="C639" s="640"/>
      <c r="E639" s="641"/>
      <c r="F639" s="641"/>
      <c r="G639" s="640"/>
      <c r="H639" s="194"/>
      <c r="I639" s="633"/>
      <c r="J639" s="194"/>
    </row>
    <row r="640" spans="3:10" s="191" customFormat="1" ht="15">
      <c r="C640" s="640"/>
      <c r="E640" s="641"/>
      <c r="F640" s="641"/>
      <c r="G640" s="640"/>
      <c r="H640" s="194"/>
      <c r="I640" s="633"/>
      <c r="J640" s="194"/>
    </row>
    <row r="641" spans="3:10" s="191" customFormat="1" ht="15">
      <c r="C641" s="640"/>
      <c r="E641" s="641"/>
      <c r="F641" s="641"/>
      <c r="G641" s="640"/>
      <c r="H641" s="194"/>
      <c r="I641" s="633"/>
      <c r="J641" s="194"/>
    </row>
    <row r="642" spans="3:10" s="191" customFormat="1" ht="15">
      <c r="C642" s="640"/>
      <c r="E642" s="641"/>
      <c r="F642" s="641"/>
      <c r="G642" s="640"/>
      <c r="H642" s="194"/>
      <c r="I642" s="633"/>
      <c r="J642" s="194"/>
    </row>
    <row r="643" spans="3:10" s="191" customFormat="1" ht="15">
      <c r="C643" s="640"/>
      <c r="E643" s="641"/>
      <c r="F643" s="641"/>
      <c r="G643" s="640"/>
      <c r="H643" s="194"/>
      <c r="I643" s="633"/>
      <c r="J643" s="194"/>
    </row>
    <row r="644" spans="3:10" s="191" customFormat="1" ht="15">
      <c r="C644" s="640"/>
      <c r="E644" s="641"/>
      <c r="F644" s="641"/>
      <c r="G644" s="640"/>
      <c r="H644" s="194"/>
      <c r="I644" s="633"/>
      <c r="J644" s="194"/>
    </row>
    <row r="645" spans="3:10" s="191" customFormat="1" ht="15">
      <c r="C645" s="640"/>
      <c r="E645" s="641"/>
      <c r="F645" s="641"/>
      <c r="G645" s="640"/>
      <c r="H645" s="194"/>
      <c r="I645" s="633"/>
      <c r="J645" s="194"/>
    </row>
    <row r="646" spans="3:10" s="191" customFormat="1" ht="15">
      <c r="C646" s="640"/>
      <c r="E646" s="641"/>
      <c r="F646" s="641"/>
      <c r="G646" s="640"/>
      <c r="H646" s="194"/>
      <c r="I646" s="633"/>
      <c r="J646" s="194"/>
    </row>
    <row r="647" spans="3:10" s="191" customFormat="1" ht="15">
      <c r="C647" s="640"/>
      <c r="E647" s="641"/>
      <c r="F647" s="641"/>
      <c r="G647" s="640"/>
      <c r="H647" s="194"/>
      <c r="I647" s="633"/>
      <c r="J647" s="194"/>
    </row>
    <row r="648" spans="3:10" s="191" customFormat="1" ht="15">
      <c r="C648" s="640"/>
      <c r="E648" s="641"/>
      <c r="F648" s="641"/>
      <c r="G648" s="640"/>
      <c r="H648" s="194"/>
      <c r="I648" s="633"/>
      <c r="J648" s="194"/>
    </row>
    <row r="649" spans="3:10" s="191" customFormat="1" ht="15">
      <c r="C649" s="640"/>
      <c r="E649" s="641"/>
      <c r="F649" s="641"/>
      <c r="G649" s="640"/>
      <c r="H649" s="194"/>
      <c r="I649" s="633"/>
      <c r="J649" s="194"/>
    </row>
    <row r="650" spans="3:10" s="191" customFormat="1" ht="15">
      <c r="C650" s="640"/>
      <c r="E650" s="641"/>
      <c r="F650" s="641"/>
      <c r="G650" s="640"/>
      <c r="H650" s="194"/>
      <c r="I650" s="633"/>
      <c r="J650" s="194"/>
    </row>
    <row r="651" spans="3:10" s="191" customFormat="1" ht="15">
      <c r="C651" s="640"/>
      <c r="E651" s="641"/>
      <c r="F651" s="641"/>
      <c r="G651" s="640"/>
      <c r="H651" s="194"/>
      <c r="I651" s="633"/>
      <c r="J651" s="194"/>
    </row>
    <row r="652" spans="3:10" s="191" customFormat="1" ht="15">
      <c r="C652" s="640"/>
      <c r="E652" s="641"/>
      <c r="F652" s="641"/>
      <c r="G652" s="640"/>
      <c r="H652" s="194"/>
      <c r="I652" s="633"/>
      <c r="J652" s="194"/>
    </row>
    <row r="653" spans="3:10" s="191" customFormat="1" ht="15">
      <c r="C653" s="640"/>
      <c r="E653" s="641"/>
      <c r="F653" s="641"/>
      <c r="G653" s="640"/>
      <c r="H653" s="194"/>
      <c r="I653" s="633"/>
      <c r="J653" s="194"/>
    </row>
    <row r="654" spans="3:10" s="191" customFormat="1" ht="15">
      <c r="C654" s="640"/>
      <c r="E654" s="641"/>
      <c r="F654" s="641"/>
      <c r="G654" s="640"/>
      <c r="H654" s="194"/>
      <c r="I654" s="633"/>
      <c r="J654" s="194"/>
    </row>
    <row r="655" spans="3:10" s="191" customFormat="1" ht="15">
      <c r="C655" s="640"/>
      <c r="E655" s="641"/>
      <c r="F655" s="641"/>
      <c r="G655" s="640"/>
      <c r="H655" s="194"/>
      <c r="I655" s="633"/>
      <c r="J655" s="194"/>
    </row>
    <row r="656" spans="3:10" s="191" customFormat="1" ht="15">
      <c r="C656" s="640"/>
      <c r="E656" s="641"/>
      <c r="F656" s="641"/>
      <c r="G656" s="640"/>
      <c r="H656" s="194"/>
      <c r="I656" s="633"/>
      <c r="J656" s="194"/>
    </row>
    <row r="657" spans="3:10" s="191" customFormat="1" ht="15">
      <c r="C657" s="640"/>
      <c r="E657" s="641"/>
      <c r="F657" s="641"/>
      <c r="G657" s="640"/>
      <c r="H657" s="194"/>
      <c r="I657" s="633"/>
      <c r="J657" s="194"/>
    </row>
    <row r="658" spans="3:10" s="191" customFormat="1" ht="15">
      <c r="C658" s="640"/>
      <c r="E658" s="641"/>
      <c r="F658" s="641"/>
      <c r="G658" s="640"/>
      <c r="H658" s="194"/>
      <c r="I658" s="633"/>
      <c r="J658" s="194"/>
    </row>
    <row r="659" spans="3:10" s="191" customFormat="1" ht="15">
      <c r="C659" s="640"/>
      <c r="E659" s="641"/>
      <c r="F659" s="641"/>
      <c r="G659" s="640"/>
      <c r="H659" s="194"/>
      <c r="I659" s="633"/>
      <c r="J659" s="194"/>
    </row>
    <row r="660" spans="3:10" s="191" customFormat="1" ht="15">
      <c r="C660" s="640"/>
      <c r="E660" s="641"/>
      <c r="F660" s="641"/>
      <c r="G660" s="640"/>
      <c r="H660" s="194"/>
      <c r="I660" s="633"/>
      <c r="J660" s="194"/>
    </row>
    <row r="661" spans="3:10" s="191" customFormat="1" ht="15">
      <c r="C661" s="640"/>
      <c r="E661" s="641"/>
      <c r="F661" s="641"/>
      <c r="G661" s="640"/>
      <c r="H661" s="194"/>
      <c r="I661" s="633"/>
      <c r="J661" s="194"/>
    </row>
    <row r="662" spans="3:10" s="191" customFormat="1" ht="15">
      <c r="C662" s="640"/>
      <c r="E662" s="641"/>
      <c r="F662" s="641"/>
      <c r="G662" s="640"/>
      <c r="H662" s="194"/>
      <c r="I662" s="633"/>
      <c r="J662" s="194"/>
    </row>
    <row r="663" spans="3:10" s="191" customFormat="1" ht="15">
      <c r="C663" s="640"/>
      <c r="E663" s="641"/>
      <c r="F663" s="641"/>
      <c r="G663" s="640"/>
      <c r="H663" s="194"/>
      <c r="I663" s="633"/>
      <c r="J663" s="194"/>
    </row>
    <row r="664" spans="3:10" s="191" customFormat="1" ht="15">
      <c r="C664" s="640"/>
      <c r="E664" s="641"/>
      <c r="F664" s="641"/>
      <c r="G664" s="640"/>
      <c r="H664" s="194"/>
      <c r="I664" s="633"/>
      <c r="J664" s="194"/>
    </row>
    <row r="665" spans="3:10" s="191" customFormat="1" ht="15">
      <c r="C665" s="640"/>
      <c r="E665" s="641"/>
      <c r="F665" s="641"/>
      <c r="G665" s="640"/>
      <c r="H665" s="194"/>
      <c r="I665" s="633"/>
      <c r="J665" s="194"/>
    </row>
    <row r="666" spans="3:10" s="191" customFormat="1" ht="15">
      <c r="C666" s="640"/>
      <c r="E666" s="641"/>
      <c r="F666" s="641"/>
      <c r="G666" s="640"/>
      <c r="H666" s="194"/>
      <c r="I666" s="633"/>
      <c r="J666" s="194"/>
    </row>
    <row r="667" spans="3:10" s="191" customFormat="1" ht="15">
      <c r="C667" s="640"/>
      <c r="E667" s="641"/>
      <c r="F667" s="641"/>
      <c r="G667" s="640"/>
      <c r="H667" s="194"/>
      <c r="I667" s="633"/>
      <c r="J667" s="194"/>
    </row>
    <row r="668" spans="3:10" s="191" customFormat="1" ht="15">
      <c r="C668" s="640"/>
      <c r="E668" s="641"/>
      <c r="F668" s="641"/>
      <c r="G668" s="640"/>
      <c r="H668" s="194"/>
      <c r="I668" s="633"/>
      <c r="J668" s="194"/>
    </row>
    <row r="669" spans="3:10" s="191" customFormat="1" ht="15">
      <c r="C669" s="640"/>
      <c r="E669" s="641"/>
      <c r="F669" s="641"/>
      <c r="G669" s="640"/>
      <c r="H669" s="194"/>
      <c r="I669" s="633"/>
      <c r="J669" s="194"/>
    </row>
    <row r="670" spans="3:10" s="191" customFormat="1" ht="15">
      <c r="C670" s="640"/>
      <c r="E670" s="641"/>
      <c r="F670" s="641"/>
      <c r="G670" s="640"/>
      <c r="H670" s="194"/>
      <c r="I670" s="633"/>
      <c r="J670" s="194"/>
    </row>
    <row r="671" spans="3:10" s="191" customFormat="1" ht="15">
      <c r="C671" s="640"/>
      <c r="E671" s="641"/>
      <c r="F671" s="641"/>
      <c r="G671" s="640"/>
      <c r="H671" s="194"/>
      <c r="I671" s="633"/>
      <c r="J671" s="194"/>
    </row>
    <row r="672" spans="3:10" s="191" customFormat="1" ht="15">
      <c r="C672" s="640"/>
      <c r="E672" s="641"/>
      <c r="F672" s="641"/>
      <c r="G672" s="640"/>
      <c r="H672" s="194"/>
      <c r="I672" s="633"/>
      <c r="J672" s="194"/>
    </row>
    <row r="673" spans="3:10" s="191" customFormat="1" ht="15">
      <c r="C673" s="640"/>
      <c r="E673" s="641"/>
      <c r="F673" s="641"/>
      <c r="G673" s="640"/>
      <c r="H673" s="194"/>
      <c r="I673" s="633"/>
      <c r="J673" s="194"/>
    </row>
    <row r="674" spans="3:10" s="191" customFormat="1" ht="15">
      <c r="C674" s="640"/>
      <c r="E674" s="641"/>
      <c r="F674" s="641"/>
      <c r="G674" s="640"/>
      <c r="H674" s="194"/>
      <c r="I674" s="633"/>
      <c r="J674" s="194"/>
    </row>
    <row r="675" spans="3:10" s="191" customFormat="1" ht="15">
      <c r="C675" s="640"/>
      <c r="E675" s="641"/>
      <c r="F675" s="641"/>
      <c r="G675" s="640"/>
      <c r="H675" s="194"/>
      <c r="I675" s="633"/>
      <c r="J675" s="194"/>
    </row>
    <row r="676" spans="3:10" s="191" customFormat="1" ht="15">
      <c r="C676" s="640"/>
      <c r="E676" s="641"/>
      <c r="F676" s="641"/>
      <c r="G676" s="640"/>
      <c r="H676" s="194"/>
      <c r="I676" s="633"/>
      <c r="J676" s="194"/>
    </row>
    <row r="677" spans="3:10" s="191" customFormat="1" ht="15">
      <c r="C677" s="640"/>
      <c r="E677" s="641"/>
      <c r="F677" s="641"/>
      <c r="G677" s="640"/>
      <c r="H677" s="194"/>
      <c r="I677" s="633"/>
      <c r="J677" s="194"/>
    </row>
    <row r="678" spans="3:10" s="191" customFormat="1" ht="15">
      <c r="C678" s="640"/>
      <c r="E678" s="641"/>
      <c r="F678" s="641"/>
      <c r="G678" s="640"/>
      <c r="H678" s="194"/>
      <c r="I678" s="633"/>
      <c r="J678" s="194"/>
    </row>
    <row r="679" spans="3:10" s="191" customFormat="1" ht="15">
      <c r="C679" s="640"/>
      <c r="E679" s="641"/>
      <c r="F679" s="641"/>
      <c r="G679" s="640"/>
      <c r="H679" s="194"/>
      <c r="I679" s="633"/>
      <c r="J679" s="194"/>
    </row>
    <row r="680" spans="3:10" s="191" customFormat="1" ht="15">
      <c r="C680" s="640"/>
      <c r="E680" s="641"/>
      <c r="F680" s="641"/>
      <c r="G680" s="640"/>
      <c r="H680" s="194"/>
      <c r="I680" s="633"/>
      <c r="J680" s="194"/>
    </row>
    <row r="681" spans="3:10" s="191" customFormat="1" ht="15">
      <c r="C681" s="640"/>
      <c r="E681" s="641"/>
      <c r="F681" s="641"/>
      <c r="G681" s="640"/>
      <c r="H681" s="194"/>
      <c r="I681" s="633"/>
      <c r="J681" s="194"/>
    </row>
    <row r="682" spans="3:10" s="191" customFormat="1" ht="15">
      <c r="C682" s="640"/>
      <c r="E682" s="641"/>
      <c r="F682" s="641"/>
      <c r="G682" s="640"/>
      <c r="H682" s="194"/>
      <c r="I682" s="633"/>
      <c r="J682" s="194"/>
    </row>
    <row r="683" spans="3:10" s="191" customFormat="1" ht="15">
      <c r="C683" s="640"/>
      <c r="E683" s="641"/>
      <c r="F683" s="641"/>
      <c r="G683" s="640"/>
      <c r="H683" s="194"/>
      <c r="I683" s="633"/>
      <c r="J683" s="194"/>
    </row>
    <row r="684" spans="3:10" s="191" customFormat="1" ht="15">
      <c r="C684" s="640"/>
      <c r="E684" s="641"/>
      <c r="F684" s="641"/>
      <c r="G684" s="640"/>
      <c r="H684" s="194"/>
      <c r="I684" s="633"/>
      <c r="J684" s="194"/>
    </row>
    <row r="685" spans="3:10" s="191" customFormat="1" ht="15">
      <c r="C685" s="640"/>
      <c r="E685" s="641"/>
      <c r="F685" s="641"/>
      <c r="G685" s="640"/>
      <c r="H685" s="194"/>
      <c r="I685" s="633"/>
      <c r="J685" s="194"/>
    </row>
    <row r="686" spans="3:10" s="191" customFormat="1" ht="15">
      <c r="C686" s="640"/>
      <c r="E686" s="641"/>
      <c r="F686" s="641"/>
      <c r="G686" s="640"/>
      <c r="H686" s="194"/>
      <c r="I686" s="633"/>
      <c r="J686" s="194"/>
    </row>
    <row r="687" spans="3:10" s="191" customFormat="1" ht="15">
      <c r="C687" s="640"/>
      <c r="E687" s="641"/>
      <c r="F687" s="641"/>
      <c r="G687" s="640"/>
      <c r="H687" s="194"/>
      <c r="I687" s="633"/>
      <c r="J687" s="194"/>
    </row>
    <row r="688" spans="3:10" s="191" customFormat="1" ht="15">
      <c r="C688" s="640"/>
      <c r="E688" s="641"/>
      <c r="F688" s="641"/>
      <c r="G688" s="640"/>
      <c r="H688" s="194"/>
      <c r="I688" s="633"/>
      <c r="J688" s="194"/>
    </row>
    <row r="689" spans="3:10" s="191" customFormat="1" ht="15">
      <c r="C689" s="640"/>
      <c r="E689" s="641"/>
      <c r="F689" s="641"/>
      <c r="G689" s="640"/>
      <c r="H689" s="194"/>
      <c r="I689" s="633"/>
      <c r="J689" s="194"/>
    </row>
    <row r="690" spans="3:10" s="191" customFormat="1" ht="15">
      <c r="C690" s="640"/>
      <c r="E690" s="641"/>
      <c r="F690" s="641"/>
      <c r="G690" s="640"/>
      <c r="H690" s="194"/>
      <c r="I690" s="633"/>
      <c r="J690" s="194"/>
    </row>
    <row r="691" spans="3:10" s="191" customFormat="1" ht="15">
      <c r="C691" s="640"/>
      <c r="E691" s="641"/>
      <c r="F691" s="641"/>
      <c r="G691" s="640"/>
      <c r="H691" s="194"/>
      <c r="I691" s="633"/>
      <c r="J691" s="194"/>
    </row>
    <row r="692" spans="3:10" s="191" customFormat="1" ht="15">
      <c r="C692" s="640"/>
      <c r="E692" s="641"/>
      <c r="F692" s="641"/>
      <c r="G692" s="640"/>
      <c r="H692" s="194"/>
      <c r="I692" s="633"/>
      <c r="J692" s="194"/>
    </row>
    <row r="693" spans="3:10" s="191" customFormat="1" ht="15">
      <c r="C693" s="640"/>
      <c r="E693" s="641"/>
      <c r="F693" s="641"/>
      <c r="G693" s="640"/>
      <c r="H693" s="194"/>
      <c r="I693" s="633"/>
      <c r="J693" s="194"/>
    </row>
    <row r="694" spans="3:10" s="191" customFormat="1" ht="15">
      <c r="C694" s="640"/>
      <c r="E694" s="641"/>
      <c r="F694" s="641"/>
      <c r="G694" s="640"/>
      <c r="H694" s="194"/>
      <c r="I694" s="633"/>
      <c r="J694" s="194"/>
    </row>
    <row r="695" spans="3:10" s="191" customFormat="1" ht="15">
      <c r="C695" s="640"/>
      <c r="E695" s="641"/>
      <c r="F695" s="641"/>
      <c r="G695" s="640"/>
      <c r="H695" s="194"/>
      <c r="I695" s="633"/>
      <c r="J695" s="194"/>
    </row>
    <row r="696" spans="3:10" s="191" customFormat="1" ht="15">
      <c r="C696" s="640"/>
      <c r="E696" s="641"/>
      <c r="F696" s="641"/>
      <c r="G696" s="640"/>
      <c r="H696" s="194"/>
      <c r="I696" s="633"/>
      <c r="J696" s="194"/>
    </row>
    <row r="697" spans="3:10" s="191" customFormat="1" ht="15">
      <c r="C697" s="640"/>
      <c r="E697" s="641"/>
      <c r="F697" s="641"/>
      <c r="G697" s="640"/>
      <c r="H697" s="194"/>
      <c r="I697" s="633"/>
      <c r="J697" s="194"/>
    </row>
    <row r="698" spans="3:10" s="191" customFormat="1" ht="15">
      <c r="C698" s="640"/>
      <c r="E698" s="641"/>
      <c r="F698" s="641"/>
      <c r="G698" s="640"/>
      <c r="H698" s="194"/>
      <c r="I698" s="633"/>
      <c r="J698" s="194"/>
    </row>
    <row r="699" spans="3:10" s="191" customFormat="1" ht="15">
      <c r="C699" s="640"/>
      <c r="E699" s="641"/>
      <c r="F699" s="641"/>
      <c r="G699" s="640"/>
      <c r="H699" s="194"/>
      <c r="I699" s="633"/>
      <c r="J699" s="194"/>
    </row>
    <row r="700" spans="3:10" s="191" customFormat="1" ht="15">
      <c r="C700" s="640"/>
      <c r="E700" s="641"/>
      <c r="F700" s="641"/>
      <c r="G700" s="640"/>
      <c r="H700" s="194"/>
      <c r="I700" s="633"/>
      <c r="J700" s="194"/>
    </row>
    <row r="701" spans="3:10" s="191" customFormat="1" ht="15">
      <c r="C701" s="640"/>
      <c r="E701" s="641"/>
      <c r="F701" s="641"/>
      <c r="G701" s="640"/>
      <c r="H701" s="194"/>
      <c r="I701" s="633"/>
      <c r="J701" s="194"/>
    </row>
    <row r="702" spans="3:10" s="191" customFormat="1" ht="15">
      <c r="C702" s="640"/>
      <c r="E702" s="641"/>
      <c r="F702" s="641"/>
      <c r="G702" s="640"/>
      <c r="H702" s="194"/>
      <c r="I702" s="633"/>
      <c r="J702" s="194"/>
    </row>
    <row r="703" spans="3:10" s="191" customFormat="1" ht="15">
      <c r="C703" s="640"/>
      <c r="E703" s="641"/>
      <c r="F703" s="641"/>
      <c r="G703" s="640"/>
      <c r="H703" s="194"/>
      <c r="I703" s="633"/>
      <c r="J703" s="194"/>
    </row>
    <row r="704" spans="3:10" s="191" customFormat="1" ht="15">
      <c r="C704" s="640"/>
      <c r="E704" s="641"/>
      <c r="F704" s="641"/>
      <c r="G704" s="640"/>
      <c r="H704" s="194"/>
      <c r="I704" s="633"/>
      <c r="J704" s="194"/>
    </row>
    <row r="705" spans="3:10" s="191" customFormat="1" ht="15">
      <c r="C705" s="640"/>
      <c r="E705" s="641"/>
      <c r="F705" s="641"/>
      <c r="G705" s="640"/>
      <c r="H705" s="194"/>
      <c r="I705" s="633"/>
      <c r="J705" s="194"/>
    </row>
    <row r="706" spans="3:10" s="191" customFormat="1" ht="15">
      <c r="C706" s="640"/>
      <c r="E706" s="641"/>
      <c r="F706" s="641"/>
      <c r="G706" s="640"/>
      <c r="H706" s="194"/>
      <c r="I706" s="633"/>
      <c r="J706" s="194"/>
    </row>
    <row r="707" spans="3:10" s="191" customFormat="1" ht="15">
      <c r="C707" s="640"/>
      <c r="E707" s="641"/>
      <c r="F707" s="641"/>
      <c r="G707" s="640"/>
      <c r="H707" s="194"/>
      <c r="I707" s="633"/>
      <c r="J707" s="194"/>
    </row>
    <row r="708" spans="3:10" s="191" customFormat="1" ht="15">
      <c r="C708" s="640"/>
      <c r="E708" s="641"/>
      <c r="F708" s="641"/>
      <c r="G708" s="640"/>
      <c r="H708" s="194"/>
      <c r="I708" s="633"/>
      <c r="J708" s="194"/>
    </row>
    <row r="709" spans="3:10" s="191" customFormat="1" ht="15">
      <c r="C709" s="640"/>
      <c r="E709" s="641"/>
      <c r="F709" s="641"/>
      <c r="G709" s="640"/>
      <c r="H709" s="194"/>
      <c r="I709" s="633"/>
      <c r="J709" s="194"/>
    </row>
    <row r="710" spans="3:10" s="191" customFormat="1" ht="15">
      <c r="C710" s="640"/>
      <c r="E710" s="641"/>
      <c r="F710" s="641"/>
      <c r="G710" s="640"/>
      <c r="H710" s="194"/>
      <c r="I710" s="633"/>
      <c r="J710" s="194"/>
    </row>
    <row r="711" spans="3:10" s="191" customFormat="1" ht="15">
      <c r="C711" s="640"/>
      <c r="E711" s="641"/>
      <c r="F711" s="641"/>
      <c r="G711" s="640"/>
      <c r="H711" s="194"/>
      <c r="I711" s="633"/>
      <c r="J711" s="194"/>
    </row>
    <row r="712" spans="3:10" s="191" customFormat="1" ht="15">
      <c r="C712" s="640"/>
      <c r="E712" s="641"/>
      <c r="F712" s="641"/>
      <c r="G712" s="640"/>
      <c r="H712" s="194"/>
      <c r="I712" s="633"/>
      <c r="J712" s="194"/>
    </row>
    <row r="713" spans="3:10" s="191" customFormat="1" ht="15">
      <c r="C713" s="640"/>
      <c r="E713" s="641"/>
      <c r="F713" s="641"/>
      <c r="G713" s="640"/>
      <c r="H713" s="194"/>
      <c r="I713" s="633"/>
      <c r="J713" s="194"/>
    </row>
    <row r="714" spans="3:10" s="191" customFormat="1" ht="15">
      <c r="C714" s="640"/>
      <c r="E714" s="641"/>
      <c r="F714" s="641"/>
      <c r="G714" s="640"/>
      <c r="H714" s="194"/>
      <c r="I714" s="633"/>
      <c r="J714" s="194"/>
    </row>
    <row r="715" spans="3:10" s="191" customFormat="1" ht="15">
      <c r="C715" s="640"/>
      <c r="E715" s="641"/>
      <c r="F715" s="641"/>
      <c r="G715" s="640"/>
      <c r="H715" s="194"/>
      <c r="I715" s="633"/>
      <c r="J715" s="194"/>
    </row>
    <row r="716" spans="3:10" s="191" customFormat="1" ht="15">
      <c r="C716" s="640"/>
      <c r="E716" s="641"/>
      <c r="F716" s="641"/>
      <c r="G716" s="640"/>
      <c r="H716" s="194"/>
      <c r="I716" s="633"/>
      <c r="J716" s="194"/>
    </row>
    <row r="717" spans="3:10" s="191" customFormat="1" ht="15">
      <c r="C717" s="640"/>
      <c r="E717" s="641"/>
      <c r="F717" s="641"/>
      <c r="G717" s="640"/>
      <c r="H717" s="194"/>
      <c r="I717" s="633"/>
      <c r="J717" s="194"/>
    </row>
    <row r="718" spans="3:10" s="191" customFormat="1" ht="15">
      <c r="C718" s="640"/>
      <c r="E718" s="641"/>
      <c r="F718" s="641"/>
      <c r="G718" s="640"/>
      <c r="H718" s="194"/>
      <c r="I718" s="633"/>
      <c r="J718" s="194"/>
    </row>
    <row r="719" spans="3:10" s="191" customFormat="1" ht="15">
      <c r="C719" s="640"/>
      <c r="E719" s="641"/>
      <c r="F719" s="641"/>
      <c r="G719" s="640"/>
      <c r="H719" s="194"/>
      <c r="I719" s="633"/>
      <c r="J719" s="194"/>
    </row>
    <row r="720" spans="3:10" s="191" customFormat="1" ht="15">
      <c r="C720" s="640"/>
      <c r="E720" s="641"/>
      <c r="F720" s="641"/>
      <c r="G720" s="640"/>
      <c r="H720" s="194"/>
      <c r="I720" s="633"/>
      <c r="J720" s="194"/>
    </row>
    <row r="721" spans="3:10" s="191" customFormat="1" ht="15">
      <c r="C721" s="640"/>
      <c r="E721" s="641"/>
      <c r="F721" s="641"/>
      <c r="G721" s="640"/>
      <c r="H721" s="194"/>
      <c r="I721" s="633"/>
      <c r="J721" s="194"/>
    </row>
    <row r="722" spans="3:10" s="191" customFormat="1" ht="15">
      <c r="C722" s="640"/>
      <c r="E722" s="641"/>
      <c r="F722" s="641"/>
      <c r="G722" s="640"/>
      <c r="H722" s="194"/>
      <c r="I722" s="633"/>
      <c r="J722" s="194"/>
    </row>
    <row r="723" spans="3:10" s="191" customFormat="1" ht="15">
      <c r="C723" s="640"/>
      <c r="E723" s="641"/>
      <c r="F723" s="641"/>
      <c r="G723" s="640"/>
      <c r="H723" s="194"/>
      <c r="I723" s="633"/>
      <c r="J723" s="194"/>
    </row>
    <row r="724" spans="3:10" s="191" customFormat="1" ht="15">
      <c r="C724" s="640"/>
      <c r="E724" s="641"/>
      <c r="F724" s="641"/>
      <c r="G724" s="640"/>
      <c r="H724" s="194"/>
      <c r="I724" s="633"/>
      <c r="J724" s="194"/>
    </row>
    <row r="725" spans="3:10" s="191" customFormat="1" ht="15">
      <c r="C725" s="640"/>
      <c r="E725" s="641"/>
      <c r="F725" s="641"/>
      <c r="G725" s="640"/>
      <c r="H725" s="194"/>
      <c r="I725" s="633"/>
      <c r="J725" s="194"/>
    </row>
    <row r="726" spans="3:10" s="191" customFormat="1" ht="15">
      <c r="C726" s="640"/>
      <c r="E726" s="641"/>
      <c r="F726" s="641"/>
      <c r="G726" s="640"/>
      <c r="H726" s="194"/>
      <c r="I726" s="633"/>
      <c r="J726" s="194"/>
    </row>
    <row r="727" spans="3:10" s="191" customFormat="1" ht="15">
      <c r="C727" s="640"/>
      <c r="E727" s="641"/>
      <c r="F727" s="641"/>
      <c r="G727" s="640"/>
      <c r="H727" s="194"/>
      <c r="I727" s="633"/>
      <c r="J727" s="194"/>
    </row>
    <row r="728" spans="3:10" s="191" customFormat="1" ht="15">
      <c r="C728" s="640"/>
      <c r="E728" s="641"/>
      <c r="F728" s="641"/>
      <c r="G728" s="640"/>
      <c r="H728" s="194"/>
      <c r="I728" s="633"/>
      <c r="J728" s="194"/>
    </row>
    <row r="729" spans="3:10" s="191" customFormat="1" ht="15">
      <c r="C729" s="640"/>
      <c r="E729" s="641"/>
      <c r="F729" s="641"/>
      <c r="G729" s="640"/>
      <c r="H729" s="194"/>
      <c r="I729" s="633"/>
      <c r="J729" s="194"/>
    </row>
    <row r="730" spans="3:10" s="191" customFormat="1" ht="15">
      <c r="C730" s="640"/>
      <c r="E730" s="641"/>
      <c r="F730" s="641"/>
      <c r="G730" s="640"/>
      <c r="H730" s="194"/>
      <c r="I730" s="633"/>
      <c r="J730" s="194"/>
    </row>
    <row r="731" spans="3:10" s="191" customFormat="1" ht="15">
      <c r="C731" s="640"/>
      <c r="E731" s="641"/>
      <c r="F731" s="641"/>
      <c r="G731" s="640"/>
      <c r="H731" s="194"/>
      <c r="I731" s="633"/>
      <c r="J731" s="194"/>
    </row>
    <row r="732" spans="3:10" s="191" customFormat="1" ht="15">
      <c r="C732" s="640"/>
      <c r="E732" s="641"/>
      <c r="F732" s="641"/>
      <c r="G732" s="640"/>
      <c r="H732" s="194"/>
      <c r="I732" s="633"/>
      <c r="J732" s="194"/>
    </row>
    <row r="733" spans="3:10" s="191" customFormat="1" ht="15">
      <c r="C733" s="640"/>
      <c r="E733" s="641"/>
      <c r="F733" s="641"/>
      <c r="G733" s="640"/>
      <c r="H733" s="194"/>
      <c r="I733" s="633"/>
      <c r="J733" s="194"/>
    </row>
    <row r="734" spans="3:10" s="191" customFormat="1" ht="15">
      <c r="C734" s="640"/>
      <c r="E734" s="641"/>
      <c r="F734" s="641"/>
      <c r="G734" s="640"/>
      <c r="H734" s="194"/>
      <c r="I734" s="633"/>
      <c r="J734" s="194"/>
    </row>
    <row r="735" spans="3:10" s="191" customFormat="1" ht="15">
      <c r="C735" s="640"/>
      <c r="E735" s="641"/>
      <c r="F735" s="641"/>
      <c r="G735" s="640"/>
      <c r="H735" s="194"/>
      <c r="I735" s="633"/>
      <c r="J735" s="194"/>
    </row>
    <row r="736" spans="3:10" s="191" customFormat="1" ht="15">
      <c r="C736" s="640"/>
      <c r="E736" s="641"/>
      <c r="F736" s="641"/>
      <c r="G736" s="640"/>
      <c r="H736" s="194"/>
      <c r="I736" s="633"/>
      <c r="J736" s="194"/>
    </row>
    <row r="737" spans="3:10" s="191" customFormat="1" ht="15">
      <c r="C737" s="640"/>
      <c r="E737" s="641"/>
      <c r="F737" s="641"/>
      <c r="G737" s="640"/>
      <c r="H737" s="194"/>
      <c r="I737" s="633"/>
      <c r="J737" s="194"/>
    </row>
    <row r="738" spans="3:10" s="191" customFormat="1" ht="15">
      <c r="C738" s="640"/>
      <c r="E738" s="641"/>
      <c r="F738" s="641"/>
      <c r="G738" s="640"/>
      <c r="H738" s="194"/>
      <c r="I738" s="633"/>
      <c r="J738" s="194"/>
    </row>
    <row r="739" spans="3:10" s="191" customFormat="1" ht="15">
      <c r="C739" s="640"/>
      <c r="E739" s="641"/>
      <c r="F739" s="641"/>
      <c r="G739" s="640"/>
      <c r="H739" s="194"/>
      <c r="I739" s="633"/>
      <c r="J739" s="194"/>
    </row>
    <row r="740" spans="3:10" s="191" customFormat="1" ht="15">
      <c r="C740" s="640"/>
      <c r="E740" s="641"/>
      <c r="F740" s="641"/>
      <c r="G740" s="640"/>
      <c r="H740" s="194"/>
      <c r="I740" s="633"/>
      <c r="J740" s="194"/>
    </row>
    <row r="741" spans="3:10" s="191" customFormat="1" ht="15">
      <c r="C741" s="640"/>
      <c r="E741" s="641"/>
      <c r="F741" s="641"/>
      <c r="G741" s="640"/>
      <c r="H741" s="194"/>
      <c r="I741" s="633"/>
      <c r="J741" s="194"/>
    </row>
    <row r="742" spans="3:10" s="191" customFormat="1" ht="15">
      <c r="C742" s="640"/>
      <c r="E742" s="641"/>
      <c r="F742" s="641"/>
      <c r="G742" s="640"/>
      <c r="H742" s="194"/>
      <c r="I742" s="633"/>
      <c r="J742" s="194"/>
    </row>
    <row r="743" spans="3:10" s="191" customFormat="1" ht="15">
      <c r="C743" s="640"/>
      <c r="E743" s="641"/>
      <c r="F743" s="641"/>
      <c r="G743" s="640"/>
      <c r="H743" s="194"/>
      <c r="I743" s="633"/>
      <c r="J743" s="194"/>
    </row>
  </sheetData>
  <sheetProtection/>
  <autoFilter ref="A12:AD345"/>
  <mergeCells count="65">
    <mergeCell ref="A518:J518"/>
    <mergeCell ref="A551:J551"/>
    <mergeCell ref="A139:J139"/>
    <mergeCell ref="N573:N574"/>
    <mergeCell ref="K572:K574"/>
    <mergeCell ref="J573:J574"/>
    <mergeCell ref="D573:D574"/>
    <mergeCell ref="A569:J569"/>
    <mergeCell ref="A429:H429"/>
    <mergeCell ref="A557:J557"/>
    <mergeCell ref="A548:J548"/>
    <mergeCell ref="A554:J554"/>
    <mergeCell ref="C573:C574"/>
    <mergeCell ref="G573:G574"/>
    <mergeCell ref="R571:T571"/>
    <mergeCell ref="L571:N571"/>
    <mergeCell ref="R572:T572"/>
    <mergeCell ref="R573:R574"/>
    <mergeCell ref="S573:S574"/>
    <mergeCell ref="T573:T574"/>
    <mergeCell ref="Q572:Q574"/>
    <mergeCell ref="L572:N572"/>
    <mergeCell ref="L573:L574"/>
    <mergeCell ref="M573:M574"/>
    <mergeCell ref="A572:A574"/>
    <mergeCell ref="B572:B574"/>
    <mergeCell ref="C572:J572"/>
    <mergeCell ref="A495:H495"/>
    <mergeCell ref="A544:J544"/>
    <mergeCell ref="H573:H574"/>
    <mergeCell ref="A371:H371"/>
    <mergeCell ref="A8:H8"/>
    <mergeCell ref="A524:J524"/>
    <mergeCell ref="A532:J532"/>
    <mergeCell ref="A541:J541"/>
    <mergeCell ref="A392:H392"/>
    <mergeCell ref="A528:J528"/>
    <mergeCell ref="A521:J521"/>
    <mergeCell ref="A451:H451"/>
    <mergeCell ref="A410:H410"/>
    <mergeCell ref="A471:H471"/>
    <mergeCell ref="A9:A13"/>
    <mergeCell ref="C10:J10"/>
    <mergeCell ref="A14:J14"/>
    <mergeCell ref="B9:J9"/>
    <mergeCell ref="A153:J153"/>
    <mergeCell ref="A275:J275"/>
    <mergeCell ref="A348:H348"/>
    <mergeCell ref="G1:J1"/>
    <mergeCell ref="G2:J2"/>
    <mergeCell ref="G3:J3"/>
    <mergeCell ref="A5:J5"/>
    <mergeCell ref="A7:J7"/>
    <mergeCell ref="C4:H4"/>
    <mergeCell ref="A132:J132"/>
    <mergeCell ref="A116:J116"/>
    <mergeCell ref="A134:J134"/>
    <mergeCell ref="I11:I12"/>
    <mergeCell ref="J11:J12"/>
    <mergeCell ref="C11:C12"/>
    <mergeCell ref="B10:B12"/>
    <mergeCell ref="D11:D12"/>
    <mergeCell ref="E11:F11"/>
    <mergeCell ref="G11:G12"/>
    <mergeCell ref="H11:H12"/>
  </mergeCells>
  <printOptions/>
  <pageMargins left="0.5905511811023623" right="0.1968503937007874" top="0.7874015748031497" bottom="0.3937007874015748" header="0.5118110236220472" footer="0.5118110236220472"/>
  <pageSetup firstPageNumber="1" useFirstPageNumber="1" fitToHeight="14" horizontalDpi="600" verticalDpi="600" orientation="portrait" paperSize="9" scale="65" r:id="rId3"/>
  <headerFooter alignWithMargins="0">
    <oddFooter>&amp;C
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12"/>
  <sheetViews>
    <sheetView view="pageBreakPreview" zoomScale="120" zoomScaleSheetLayoutView="120" zoomScalePageLayoutView="0" workbookViewId="0" topLeftCell="A1">
      <selection activeCell="A2" sqref="A2:D2"/>
    </sheetView>
  </sheetViews>
  <sheetFormatPr defaultColWidth="9.140625" defaultRowHeight="12.75"/>
  <cols>
    <col min="1" max="1" width="29.421875" style="249" customWidth="1"/>
    <col min="2" max="2" width="20.57421875" style="249" customWidth="1"/>
    <col min="3" max="3" width="20.00390625" style="249" customWidth="1"/>
    <col min="4" max="4" width="13.8515625" style="249" customWidth="1"/>
    <col min="5" max="16384" width="9.140625" style="249" customWidth="1"/>
  </cols>
  <sheetData>
    <row r="1" ht="25.5" customHeight="1">
      <c r="D1" s="249" t="s">
        <v>358</v>
      </c>
    </row>
    <row r="2" spans="1:4" ht="27.75" customHeight="1">
      <c r="A2" s="952" t="s">
        <v>275</v>
      </c>
      <c r="B2" s="952"/>
      <c r="C2" s="952"/>
      <c r="D2" s="952"/>
    </row>
    <row r="3" spans="1:4" ht="93.75" customHeight="1">
      <c r="A3" s="951" t="s">
        <v>279</v>
      </c>
      <c r="B3" s="951"/>
      <c r="C3" s="951"/>
      <c r="D3" s="951"/>
    </row>
    <row r="4" spans="1:2" ht="12.75">
      <c r="A4" s="250"/>
      <c r="B4" s="256" t="s">
        <v>277</v>
      </c>
    </row>
    <row r="5" spans="1:2" ht="12.75">
      <c r="A5" s="250"/>
      <c r="B5" s="256"/>
    </row>
    <row r="6" spans="1:4" ht="27.75" customHeight="1">
      <c r="A6" s="950" t="s">
        <v>276</v>
      </c>
      <c r="B6" s="953" t="s">
        <v>280</v>
      </c>
      <c r="C6" s="954"/>
      <c r="D6" s="955"/>
    </row>
    <row r="7" spans="1:4" ht="29.25" customHeight="1">
      <c r="A7" s="950"/>
      <c r="B7" s="255"/>
      <c r="C7" s="255"/>
      <c r="D7" s="956" t="s">
        <v>6</v>
      </c>
    </row>
    <row r="8" spans="1:4" ht="42.75" customHeight="1">
      <c r="A8" s="950"/>
      <c r="B8" s="255"/>
      <c r="C8" s="255"/>
      <c r="D8" s="957"/>
    </row>
    <row r="9" spans="1:4" ht="24" customHeight="1">
      <c r="A9" s="251" t="s">
        <v>39</v>
      </c>
      <c r="B9" s="252"/>
      <c r="C9" s="252"/>
      <c r="D9" s="257">
        <f>SUM(B9:C9)</f>
        <v>0</v>
      </c>
    </row>
    <row r="10" spans="1:4" ht="24" customHeight="1">
      <c r="A10" s="251" t="s">
        <v>52</v>
      </c>
      <c r="B10" s="252"/>
      <c r="C10" s="252"/>
      <c r="D10" s="257">
        <f>SUM(B10:C10)</f>
        <v>0</v>
      </c>
    </row>
    <row r="11" spans="1:4" ht="24" customHeight="1">
      <c r="A11" s="251" t="s">
        <v>207</v>
      </c>
      <c r="B11" s="252"/>
      <c r="C11" s="252"/>
      <c r="D11" s="257">
        <f>SUM(B11:C11)</f>
        <v>0</v>
      </c>
    </row>
    <row r="12" spans="1:4" ht="24" customHeight="1">
      <c r="A12" s="253" t="s">
        <v>278</v>
      </c>
      <c r="B12" s="254">
        <f>SUM(B9:B11)</f>
        <v>0</v>
      </c>
      <c r="C12" s="254">
        <f>SUM(C9:C11)</f>
        <v>0</v>
      </c>
      <c r="D12" s="254">
        <f>SUM(D9:D11)</f>
        <v>0</v>
      </c>
    </row>
  </sheetData>
  <sheetProtection/>
  <mergeCells count="5">
    <mergeCell ref="A6:A8"/>
    <mergeCell ref="A3:D3"/>
    <mergeCell ref="A2:D2"/>
    <mergeCell ref="B6:D6"/>
    <mergeCell ref="D7:D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25"/>
  <sheetViews>
    <sheetView view="pageBreakPreview" zoomScale="80" zoomScaleSheetLayoutView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14" sqref="H14:H22"/>
    </sheetView>
  </sheetViews>
  <sheetFormatPr defaultColWidth="9.140625" defaultRowHeight="12.75"/>
  <cols>
    <col min="1" max="1" width="40.7109375" style="204" customWidth="1"/>
    <col min="2" max="2" width="19.8515625" style="204" customWidth="1"/>
    <col min="3" max="3" width="18.57421875" style="204" customWidth="1"/>
    <col min="4" max="4" width="18.7109375" style="204" customWidth="1"/>
    <col min="5" max="5" width="19.140625" style="207" customWidth="1"/>
    <col min="6" max="6" width="14.57421875" style="204" customWidth="1"/>
    <col min="7" max="7" width="15.140625" style="204" customWidth="1"/>
    <col min="8" max="8" width="17.00390625" style="204" customWidth="1"/>
    <col min="9" max="9" width="14.28125" style="204" customWidth="1"/>
    <col min="10" max="10" width="13.28125" style="204" customWidth="1"/>
    <col min="11" max="12" width="14.421875" style="204" customWidth="1"/>
    <col min="13" max="16384" width="9.140625" style="204" customWidth="1"/>
  </cols>
  <sheetData>
    <row r="1" spans="4:10" ht="21" customHeight="1">
      <c r="D1" s="205"/>
      <c r="E1" s="205"/>
      <c r="H1" s="206"/>
      <c r="I1" s="206"/>
      <c r="J1" s="204" t="s">
        <v>359</v>
      </c>
    </row>
    <row r="2" spans="4:9" ht="21" customHeight="1">
      <c r="D2" s="205"/>
      <c r="E2" s="205"/>
      <c r="H2" s="206"/>
      <c r="I2" s="206"/>
    </row>
    <row r="3" spans="1:10" ht="31.5" customHeight="1">
      <c r="A3" s="888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2024 ГОДУ                                                                                          </v>
      </c>
      <c r="B3" s="888"/>
      <c r="C3" s="888"/>
      <c r="D3" s="888"/>
      <c r="E3" s="888"/>
      <c r="F3" s="888"/>
      <c r="G3" s="888"/>
      <c r="H3" s="888"/>
      <c r="I3" s="888"/>
      <c r="J3" s="888"/>
    </row>
    <row r="4" spans="1:10" ht="21.75" customHeight="1">
      <c r="A4" s="889" t="s">
        <v>517</v>
      </c>
      <c r="B4" s="889"/>
      <c r="C4" s="889"/>
      <c r="D4" s="889"/>
      <c r="E4" s="889"/>
      <c r="F4" s="889"/>
      <c r="G4" s="889"/>
      <c r="H4" s="889"/>
      <c r="I4" s="889"/>
      <c r="J4" s="889"/>
    </row>
    <row r="5" spans="2:9" ht="16.5" thickBot="1">
      <c r="B5" s="208"/>
      <c r="C5" s="208"/>
      <c r="D5" s="208"/>
      <c r="E5" s="208"/>
      <c r="F5" s="208"/>
      <c r="G5" s="208"/>
      <c r="H5" s="208"/>
      <c r="I5" s="208"/>
    </row>
    <row r="6" spans="1:10" ht="15.75">
      <c r="A6" s="890" t="s">
        <v>195</v>
      </c>
      <c r="B6" s="892" t="s">
        <v>231</v>
      </c>
      <c r="C6" s="896" t="s">
        <v>196</v>
      </c>
      <c r="D6" s="897"/>
      <c r="E6" s="897"/>
      <c r="F6" s="897"/>
      <c r="G6" s="898"/>
      <c r="H6" s="892" t="s">
        <v>232</v>
      </c>
      <c r="I6" s="894" t="s">
        <v>196</v>
      </c>
      <c r="J6" s="895"/>
    </row>
    <row r="7" spans="1:10" ht="15.75">
      <c r="A7" s="891"/>
      <c r="B7" s="893"/>
      <c r="C7" s="884" t="s">
        <v>208</v>
      </c>
      <c r="D7" s="884" t="s">
        <v>245</v>
      </c>
      <c r="E7" s="884" t="s">
        <v>197</v>
      </c>
      <c r="F7" s="883" t="s">
        <v>196</v>
      </c>
      <c r="G7" s="883"/>
      <c r="H7" s="893"/>
      <c r="I7" s="884" t="s">
        <v>198</v>
      </c>
      <c r="J7" s="886" t="s">
        <v>199</v>
      </c>
    </row>
    <row r="8" spans="1:10" ht="82.5" customHeight="1" thickBot="1">
      <c r="A8" s="891"/>
      <c r="B8" s="893"/>
      <c r="C8" s="885"/>
      <c r="D8" s="885"/>
      <c r="E8" s="885"/>
      <c r="F8" s="682" t="s">
        <v>233</v>
      </c>
      <c r="G8" s="682" t="s">
        <v>481</v>
      </c>
      <c r="H8" s="893"/>
      <c r="I8" s="885"/>
      <c r="J8" s="887"/>
    </row>
    <row r="9" spans="1:10" ht="16.5" thickBot="1">
      <c r="A9" s="683">
        <v>1</v>
      </c>
      <c r="B9" s="684">
        <v>2</v>
      </c>
      <c r="C9" s="684">
        <v>3</v>
      </c>
      <c r="D9" s="684">
        <v>4</v>
      </c>
      <c r="E9" s="684">
        <v>5</v>
      </c>
      <c r="F9" s="685" t="s">
        <v>482</v>
      </c>
      <c r="G9" s="685" t="s">
        <v>483</v>
      </c>
      <c r="H9" s="684">
        <v>6</v>
      </c>
      <c r="I9" s="684">
        <v>7</v>
      </c>
      <c r="J9" s="686">
        <v>8</v>
      </c>
    </row>
    <row r="10" spans="1:10" ht="33" customHeight="1">
      <c r="A10" s="350" t="s">
        <v>450</v>
      </c>
      <c r="B10" s="687">
        <f>SUM(C10:E10)</f>
        <v>227</v>
      </c>
      <c r="C10" s="464">
        <v>124</v>
      </c>
      <c r="D10" s="464">
        <v>103</v>
      </c>
      <c r="E10" s="464">
        <v>0</v>
      </c>
      <c r="F10" s="465"/>
      <c r="G10" s="465"/>
      <c r="H10" s="687">
        <f aca="true" t="shared" si="0" ref="H10:H21">SUM(I10:J10)</f>
        <v>18954</v>
      </c>
      <c r="I10" s="466">
        <v>18954</v>
      </c>
      <c r="J10" s="467">
        <v>0</v>
      </c>
    </row>
    <row r="11" spans="1:11" ht="25.5" customHeight="1">
      <c r="A11" s="225" t="s">
        <v>234</v>
      </c>
      <c r="B11" s="688">
        <f aca="true" t="shared" si="1" ref="B11:B21">SUM(C11:E11)</f>
        <v>35555</v>
      </c>
      <c r="C11" s="366">
        <v>0</v>
      </c>
      <c r="D11" s="366">
        <v>0</v>
      </c>
      <c r="E11" s="366">
        <v>35555</v>
      </c>
      <c r="F11" s="367">
        <v>4694</v>
      </c>
      <c r="G11" s="367">
        <v>5435</v>
      </c>
      <c r="H11" s="688">
        <f t="shared" si="0"/>
        <v>10826</v>
      </c>
      <c r="I11" s="365">
        <v>0</v>
      </c>
      <c r="J11" s="456">
        <v>10826</v>
      </c>
      <c r="K11" s="208"/>
    </row>
    <row r="12" spans="1:13" ht="31.5">
      <c r="A12" s="226" t="s">
        <v>235</v>
      </c>
      <c r="B12" s="689">
        <f>SUM(B14:B21)</f>
        <v>15280</v>
      </c>
      <c r="C12" s="368">
        <f>SUM(C14:C21)</f>
        <v>144</v>
      </c>
      <c r="D12" s="368">
        <f aca="true" t="shared" si="2" ref="D12:J12">SUM(D14:D21)</f>
        <v>165</v>
      </c>
      <c r="E12" s="368">
        <f t="shared" si="2"/>
        <v>14971</v>
      </c>
      <c r="F12" s="369">
        <f t="shared" si="2"/>
        <v>1976</v>
      </c>
      <c r="G12" s="369">
        <f t="shared" si="2"/>
        <v>2065</v>
      </c>
      <c r="H12" s="689">
        <f t="shared" si="2"/>
        <v>11140</v>
      </c>
      <c r="I12" s="370">
        <f t="shared" si="2"/>
        <v>6581</v>
      </c>
      <c r="J12" s="457">
        <f t="shared" si="2"/>
        <v>4559</v>
      </c>
      <c r="K12" s="208"/>
      <c r="M12" s="208"/>
    </row>
    <row r="13" spans="1:10" ht="24" customHeight="1">
      <c r="A13" s="458" t="s">
        <v>236</v>
      </c>
      <c r="B13" s="229"/>
      <c r="C13" s="230"/>
      <c r="D13" s="230"/>
      <c r="E13" s="230"/>
      <c r="F13" s="231"/>
      <c r="G13" s="231"/>
      <c r="H13" s="229"/>
      <c r="I13" s="230"/>
      <c r="J13" s="459"/>
    </row>
    <row r="14" spans="1:12" ht="31.5">
      <c r="A14" s="227" t="s">
        <v>237</v>
      </c>
      <c r="B14" s="687">
        <f>SUM(C14:E14)</f>
        <v>3210</v>
      </c>
      <c r="C14" s="365">
        <v>144</v>
      </c>
      <c r="D14" s="365">
        <v>25</v>
      </c>
      <c r="E14" s="365">
        <v>3041</v>
      </c>
      <c r="F14" s="371">
        <v>401</v>
      </c>
      <c r="G14" s="371">
        <v>437</v>
      </c>
      <c r="H14" s="687">
        <f t="shared" si="0"/>
        <v>2729</v>
      </c>
      <c r="I14" s="365">
        <v>1803</v>
      </c>
      <c r="J14" s="456">
        <v>926</v>
      </c>
      <c r="L14" s="208"/>
    </row>
    <row r="15" spans="1:12" ht="30" customHeight="1">
      <c r="A15" s="228" t="s">
        <v>238</v>
      </c>
      <c r="B15" s="688">
        <f t="shared" si="1"/>
        <v>1650</v>
      </c>
      <c r="C15" s="365">
        <v>0</v>
      </c>
      <c r="D15" s="365">
        <v>13</v>
      </c>
      <c r="E15" s="365">
        <v>1637</v>
      </c>
      <c r="F15" s="371">
        <v>216</v>
      </c>
      <c r="G15" s="371">
        <v>247</v>
      </c>
      <c r="H15" s="688">
        <f t="shared" si="0"/>
        <v>1375</v>
      </c>
      <c r="I15" s="365">
        <v>877</v>
      </c>
      <c r="J15" s="456">
        <v>498</v>
      </c>
      <c r="L15" s="208"/>
    </row>
    <row r="16" spans="1:12" ht="31.5" customHeight="1">
      <c r="A16" s="228" t="s">
        <v>239</v>
      </c>
      <c r="B16" s="688">
        <f t="shared" si="1"/>
        <v>878</v>
      </c>
      <c r="C16" s="365">
        <v>0</v>
      </c>
      <c r="D16" s="365">
        <v>13</v>
      </c>
      <c r="E16" s="365">
        <v>865</v>
      </c>
      <c r="F16" s="371">
        <v>114</v>
      </c>
      <c r="G16" s="371">
        <v>106</v>
      </c>
      <c r="H16" s="688">
        <f t="shared" si="0"/>
        <v>586</v>
      </c>
      <c r="I16" s="365">
        <v>323</v>
      </c>
      <c r="J16" s="456">
        <v>263</v>
      </c>
      <c r="L16" s="208"/>
    </row>
    <row r="17" spans="1:12" ht="31.5">
      <c r="A17" s="228" t="s">
        <v>240</v>
      </c>
      <c r="B17" s="688">
        <f t="shared" si="1"/>
        <v>2471</v>
      </c>
      <c r="C17" s="365">
        <v>0</v>
      </c>
      <c r="D17" s="365">
        <v>19</v>
      </c>
      <c r="E17" s="365">
        <v>2452</v>
      </c>
      <c r="F17" s="371">
        <v>324</v>
      </c>
      <c r="G17" s="371">
        <v>344</v>
      </c>
      <c r="H17" s="688">
        <f t="shared" si="0"/>
        <v>1733</v>
      </c>
      <c r="I17" s="365">
        <v>986</v>
      </c>
      <c r="J17" s="456">
        <v>747</v>
      </c>
      <c r="L17" s="208"/>
    </row>
    <row r="18" spans="1:12" ht="37.5" customHeight="1">
      <c r="A18" s="228" t="s">
        <v>241</v>
      </c>
      <c r="B18" s="688">
        <f t="shared" si="1"/>
        <v>547</v>
      </c>
      <c r="C18" s="365">
        <v>0</v>
      </c>
      <c r="D18" s="365">
        <v>27</v>
      </c>
      <c r="E18" s="365">
        <v>520</v>
      </c>
      <c r="F18" s="371">
        <v>69</v>
      </c>
      <c r="G18" s="371">
        <v>78</v>
      </c>
      <c r="H18" s="688">
        <f t="shared" si="0"/>
        <v>535</v>
      </c>
      <c r="I18" s="365">
        <v>377</v>
      </c>
      <c r="J18" s="456">
        <v>158</v>
      </c>
      <c r="L18" s="208"/>
    </row>
    <row r="19" spans="1:12" ht="31.5">
      <c r="A19" s="228" t="s">
        <v>242</v>
      </c>
      <c r="B19" s="688">
        <f t="shared" si="1"/>
        <v>1266</v>
      </c>
      <c r="C19" s="365">
        <v>0</v>
      </c>
      <c r="D19" s="365">
        <v>18</v>
      </c>
      <c r="E19" s="365">
        <v>1248</v>
      </c>
      <c r="F19" s="371">
        <v>165</v>
      </c>
      <c r="G19" s="371">
        <v>159</v>
      </c>
      <c r="H19" s="688">
        <f t="shared" si="0"/>
        <v>747</v>
      </c>
      <c r="I19" s="365">
        <v>367</v>
      </c>
      <c r="J19" s="456">
        <v>380</v>
      </c>
      <c r="L19" s="208"/>
    </row>
    <row r="20" spans="1:12" ht="31.5">
      <c r="A20" s="228" t="s">
        <v>243</v>
      </c>
      <c r="B20" s="688">
        <f t="shared" si="1"/>
        <v>2728</v>
      </c>
      <c r="C20" s="365">
        <v>0</v>
      </c>
      <c r="D20" s="365">
        <v>29</v>
      </c>
      <c r="E20" s="365">
        <v>2699</v>
      </c>
      <c r="F20" s="371">
        <v>356</v>
      </c>
      <c r="G20" s="371">
        <v>372</v>
      </c>
      <c r="H20" s="688">
        <f t="shared" si="0"/>
        <v>1959</v>
      </c>
      <c r="I20" s="365">
        <v>1136</v>
      </c>
      <c r="J20" s="456">
        <v>823</v>
      </c>
      <c r="L20" s="208"/>
    </row>
    <row r="21" spans="1:12" ht="33" customHeight="1">
      <c r="A21" s="228" t="s">
        <v>244</v>
      </c>
      <c r="B21" s="688">
        <f t="shared" si="1"/>
        <v>2530</v>
      </c>
      <c r="C21" s="365">
        <v>0</v>
      </c>
      <c r="D21" s="365">
        <v>21</v>
      </c>
      <c r="E21" s="365">
        <v>2509</v>
      </c>
      <c r="F21" s="371">
        <v>331</v>
      </c>
      <c r="G21" s="371">
        <v>322</v>
      </c>
      <c r="H21" s="688">
        <f t="shared" si="0"/>
        <v>1476</v>
      </c>
      <c r="I21" s="365">
        <v>712</v>
      </c>
      <c r="J21" s="456">
        <v>764</v>
      </c>
      <c r="L21" s="208"/>
    </row>
    <row r="22" spans="1:10" ht="20.25" customHeight="1" thickBot="1">
      <c r="A22" s="460" t="s">
        <v>30</v>
      </c>
      <c r="B22" s="690">
        <f>+B11+B12+B10</f>
        <v>51062</v>
      </c>
      <c r="C22" s="461">
        <f aca="true" t="shared" si="3" ref="C22:J22">+C11+C12+C10</f>
        <v>268</v>
      </c>
      <c r="D22" s="461">
        <f t="shared" si="3"/>
        <v>268</v>
      </c>
      <c r="E22" s="461">
        <f t="shared" si="3"/>
        <v>50526</v>
      </c>
      <c r="F22" s="462">
        <f t="shared" si="3"/>
        <v>6670</v>
      </c>
      <c r="G22" s="462">
        <f t="shared" si="3"/>
        <v>7500</v>
      </c>
      <c r="H22" s="690">
        <f t="shared" si="3"/>
        <v>40920</v>
      </c>
      <c r="I22" s="461">
        <f t="shared" si="3"/>
        <v>25535</v>
      </c>
      <c r="J22" s="463">
        <f t="shared" si="3"/>
        <v>15385</v>
      </c>
    </row>
    <row r="24" ht="15.75">
      <c r="C24" s="310"/>
    </row>
    <row r="25" spans="2:10" ht="15.75">
      <c r="B25" s="309"/>
      <c r="C25" s="309"/>
      <c r="E25" s="309"/>
      <c r="H25" s="309"/>
      <c r="I25" s="309"/>
      <c r="J25" s="309"/>
    </row>
  </sheetData>
  <sheetProtection/>
  <mergeCells count="13">
    <mergeCell ref="D7:D8"/>
    <mergeCell ref="E7:E8"/>
    <mergeCell ref="C6:G6"/>
    <mergeCell ref="F7:G7"/>
    <mergeCell ref="I7:I8"/>
    <mergeCell ref="J7:J8"/>
    <mergeCell ref="A3:J3"/>
    <mergeCell ref="A4:J4"/>
    <mergeCell ref="A6:A8"/>
    <mergeCell ref="B6:B8"/>
    <mergeCell ref="H6:H8"/>
    <mergeCell ref="I6:J6"/>
    <mergeCell ref="C7:C8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S85"/>
  <sheetViews>
    <sheetView view="pageBreakPreview" zoomScaleSheetLayoutView="100" zoomScalePageLayoutView="0" workbookViewId="0" topLeftCell="A1">
      <pane xSplit="2" ySplit="8" topLeftCell="C6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1" sqref="Q1:T16384"/>
    </sheetView>
  </sheetViews>
  <sheetFormatPr defaultColWidth="9.140625" defaultRowHeight="12.75" outlineLevelCol="1"/>
  <cols>
    <col min="1" max="1" width="4.7109375" style="376" customWidth="1"/>
    <col min="2" max="2" width="36.57421875" style="3" customWidth="1"/>
    <col min="3" max="3" width="14.421875" style="3" customWidth="1"/>
    <col min="4" max="4" width="13.140625" style="3" customWidth="1"/>
    <col min="5" max="5" width="14.00390625" style="3" customWidth="1"/>
    <col min="6" max="7" width="13.421875" style="3" customWidth="1" outlineLevel="1"/>
    <col min="8" max="15" width="12.00390625" style="3" customWidth="1" outlineLevel="1"/>
    <col min="16" max="16" width="13.28125" style="3" customWidth="1"/>
    <col min="17" max="17" width="9.140625" style="3" customWidth="1"/>
    <col min="18" max="18" width="9.421875" style="3" bestFit="1" customWidth="1"/>
    <col min="19" max="16384" width="9.140625" style="3" customWidth="1"/>
  </cols>
  <sheetData>
    <row r="1" spans="16:17" ht="15.75">
      <c r="P1" s="172" t="s">
        <v>360</v>
      </c>
      <c r="Q1" s="172"/>
    </row>
    <row r="2" spans="16:17" ht="15.75">
      <c r="P2" s="285"/>
      <c r="Q2" s="285"/>
    </row>
    <row r="3" spans="2:16" ht="28.5" customHeight="1">
      <c r="B3" s="829" t="str">
        <f>'1.1. ПРОФ.МЕРОПРИЯТИЯ (КП)'!A3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2024 ГОДУ                                                                                          </v>
      </c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829"/>
      <c r="N3" s="829"/>
      <c r="O3" s="829"/>
      <c r="P3" s="829"/>
    </row>
    <row r="5" spans="2:16" ht="14.25">
      <c r="B5" s="903" t="s">
        <v>558</v>
      </c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903"/>
      <c r="P5" s="903"/>
    </row>
    <row r="6" ht="13.5" thickBot="1"/>
    <row r="7" spans="1:16" ht="15" customHeight="1">
      <c r="A7" s="899" t="s">
        <v>68</v>
      </c>
      <c r="B7" s="899" t="s">
        <v>346</v>
      </c>
      <c r="C7" s="904" t="s">
        <v>451</v>
      </c>
      <c r="D7" s="904" t="s">
        <v>207</v>
      </c>
      <c r="E7" s="904" t="s">
        <v>357</v>
      </c>
      <c r="F7" s="906" t="s">
        <v>196</v>
      </c>
      <c r="G7" s="907"/>
      <c r="H7" s="907"/>
      <c r="I7" s="907"/>
      <c r="J7" s="907"/>
      <c r="K7" s="907"/>
      <c r="L7" s="907"/>
      <c r="M7" s="907"/>
      <c r="N7" s="907"/>
      <c r="O7" s="908"/>
      <c r="P7" s="901" t="s">
        <v>356</v>
      </c>
    </row>
    <row r="8" spans="1:16" ht="70.5" customHeight="1" thickBot="1">
      <c r="A8" s="900"/>
      <c r="B8" s="900"/>
      <c r="C8" s="905"/>
      <c r="D8" s="905"/>
      <c r="E8" s="905"/>
      <c r="F8" s="383" t="s">
        <v>347</v>
      </c>
      <c r="G8" s="383" t="s">
        <v>365</v>
      </c>
      <c r="H8" s="383" t="s">
        <v>348</v>
      </c>
      <c r="I8" s="383" t="s">
        <v>349</v>
      </c>
      <c r="J8" s="383" t="s">
        <v>350</v>
      </c>
      <c r="K8" s="383" t="s">
        <v>351</v>
      </c>
      <c r="L8" s="383" t="s">
        <v>352</v>
      </c>
      <c r="M8" s="383" t="s">
        <v>353</v>
      </c>
      <c r="N8" s="383" t="s">
        <v>354</v>
      </c>
      <c r="O8" s="383" t="s">
        <v>355</v>
      </c>
      <c r="P8" s="902"/>
    </row>
    <row r="9" spans="1:18" s="374" customFormat="1" ht="28.5" customHeight="1">
      <c r="A9" s="377" t="s">
        <v>505</v>
      </c>
      <c r="B9" s="373" t="s">
        <v>492</v>
      </c>
      <c r="C9" s="145">
        <f>SUM(C10:C13)</f>
        <v>506</v>
      </c>
      <c r="D9" s="691">
        <f>SUM(D10:D13)</f>
        <v>0</v>
      </c>
      <c r="E9" s="145">
        <f aca="true" t="shared" si="0" ref="E9:E18">SUM(F9:O9)</f>
        <v>410</v>
      </c>
      <c r="F9" s="692">
        <f aca="true" t="shared" si="1" ref="F9:O9">SUM(F10:F13)</f>
        <v>46</v>
      </c>
      <c r="G9" s="692">
        <f t="shared" si="1"/>
        <v>0</v>
      </c>
      <c r="H9" s="692">
        <f t="shared" si="1"/>
        <v>46</v>
      </c>
      <c r="I9" s="692">
        <f t="shared" si="1"/>
        <v>46</v>
      </c>
      <c r="J9" s="692">
        <f t="shared" si="1"/>
        <v>46</v>
      </c>
      <c r="K9" s="692">
        <f t="shared" si="1"/>
        <v>23</v>
      </c>
      <c r="L9" s="692">
        <f t="shared" si="1"/>
        <v>46</v>
      </c>
      <c r="M9" s="692">
        <f t="shared" si="1"/>
        <v>46</v>
      </c>
      <c r="N9" s="692">
        <f t="shared" si="1"/>
        <v>46</v>
      </c>
      <c r="O9" s="692">
        <f t="shared" si="1"/>
        <v>65</v>
      </c>
      <c r="P9" s="693">
        <f aca="true" t="shared" si="2" ref="P9:P40">C9+D9+E9</f>
        <v>916</v>
      </c>
      <c r="R9" s="375"/>
    </row>
    <row r="10" spans="1:18" s="297" customFormat="1" ht="18.75" customHeight="1">
      <c r="A10" s="378" t="s">
        <v>493</v>
      </c>
      <c r="B10" s="694" t="s">
        <v>488</v>
      </c>
      <c r="C10" s="695">
        <v>0</v>
      </c>
      <c r="D10" s="695">
        <v>0</v>
      </c>
      <c r="E10" s="169">
        <f t="shared" si="0"/>
        <v>0</v>
      </c>
      <c r="F10" s="696"/>
      <c r="G10" s="696"/>
      <c r="H10" s="696"/>
      <c r="I10" s="696"/>
      <c r="J10" s="696"/>
      <c r="K10" s="696"/>
      <c r="L10" s="696"/>
      <c r="M10" s="696"/>
      <c r="N10" s="696"/>
      <c r="O10" s="696"/>
      <c r="P10" s="697">
        <f t="shared" si="2"/>
        <v>0</v>
      </c>
      <c r="R10" s="379"/>
    </row>
    <row r="11" spans="1:18" s="297" customFormat="1" ht="18.75" customHeight="1">
      <c r="A11" s="378" t="s">
        <v>493</v>
      </c>
      <c r="B11" s="694" t="s">
        <v>489</v>
      </c>
      <c r="C11" s="695">
        <v>0</v>
      </c>
      <c r="D11" s="695">
        <v>0</v>
      </c>
      <c r="E11" s="169">
        <f t="shared" si="0"/>
        <v>0</v>
      </c>
      <c r="F11" s="696"/>
      <c r="G11" s="696"/>
      <c r="H11" s="696"/>
      <c r="I11" s="696"/>
      <c r="J11" s="696"/>
      <c r="K11" s="696"/>
      <c r="L11" s="696"/>
      <c r="M11" s="696"/>
      <c r="N11" s="696"/>
      <c r="O11" s="696"/>
      <c r="P11" s="697">
        <f t="shared" si="2"/>
        <v>0</v>
      </c>
      <c r="R11" s="379"/>
    </row>
    <row r="12" spans="1:18" s="297" customFormat="1" ht="18.75" customHeight="1">
      <c r="A12" s="378" t="s">
        <v>493</v>
      </c>
      <c r="B12" s="694" t="s">
        <v>490</v>
      </c>
      <c r="C12" s="695">
        <v>0</v>
      </c>
      <c r="D12" s="695">
        <v>0</v>
      </c>
      <c r="E12" s="169">
        <f t="shared" si="0"/>
        <v>0</v>
      </c>
      <c r="F12" s="696"/>
      <c r="G12" s="696"/>
      <c r="H12" s="696"/>
      <c r="I12" s="696"/>
      <c r="J12" s="696"/>
      <c r="K12" s="696"/>
      <c r="L12" s="696"/>
      <c r="M12" s="696"/>
      <c r="N12" s="696"/>
      <c r="O12" s="696"/>
      <c r="P12" s="697">
        <f t="shared" si="2"/>
        <v>0</v>
      </c>
      <c r="R12" s="379"/>
    </row>
    <row r="13" spans="1:18" s="297" customFormat="1" ht="18.75" customHeight="1">
      <c r="A13" s="378" t="s">
        <v>493</v>
      </c>
      <c r="B13" s="694" t="s">
        <v>491</v>
      </c>
      <c r="C13" s="169">
        <v>506</v>
      </c>
      <c r="D13" s="695">
        <v>0</v>
      </c>
      <c r="E13" s="169">
        <f t="shared" si="0"/>
        <v>410</v>
      </c>
      <c r="F13" s="696">
        <v>46</v>
      </c>
      <c r="G13" s="696"/>
      <c r="H13" s="696">
        <v>46</v>
      </c>
      <c r="I13" s="696">
        <v>46</v>
      </c>
      <c r="J13" s="696">
        <v>46</v>
      </c>
      <c r="K13" s="696">
        <v>23</v>
      </c>
      <c r="L13" s="696">
        <v>46</v>
      </c>
      <c r="M13" s="696">
        <v>46</v>
      </c>
      <c r="N13" s="696">
        <v>46</v>
      </c>
      <c r="O13" s="696">
        <v>65</v>
      </c>
      <c r="P13" s="697">
        <f t="shared" si="2"/>
        <v>916</v>
      </c>
      <c r="R13" s="379"/>
    </row>
    <row r="14" spans="1:18" ht="27.75" customHeight="1">
      <c r="A14" s="381" t="s">
        <v>396</v>
      </c>
      <c r="B14" s="698" t="s">
        <v>494</v>
      </c>
      <c r="C14" s="146">
        <f>SUM(C15:C18)</f>
        <v>0</v>
      </c>
      <c r="D14" s="146">
        <f>SUM(D15:D18)</f>
        <v>0</v>
      </c>
      <c r="E14" s="146">
        <f t="shared" si="0"/>
        <v>429</v>
      </c>
      <c r="F14" s="699">
        <f aca="true" t="shared" si="3" ref="F14:O14">SUM(F15:F18)</f>
        <v>0</v>
      </c>
      <c r="G14" s="699">
        <f t="shared" si="3"/>
        <v>278</v>
      </c>
      <c r="H14" s="699">
        <f t="shared" si="3"/>
        <v>55</v>
      </c>
      <c r="I14" s="699">
        <f t="shared" si="3"/>
        <v>55</v>
      </c>
      <c r="J14" s="699">
        <f t="shared" si="3"/>
        <v>0</v>
      </c>
      <c r="K14" s="699">
        <f t="shared" si="3"/>
        <v>0</v>
      </c>
      <c r="L14" s="699">
        <f t="shared" si="3"/>
        <v>0</v>
      </c>
      <c r="M14" s="699">
        <f t="shared" si="3"/>
        <v>0</v>
      </c>
      <c r="N14" s="699">
        <f t="shared" si="3"/>
        <v>0</v>
      </c>
      <c r="O14" s="699">
        <f t="shared" si="3"/>
        <v>41</v>
      </c>
      <c r="P14" s="700">
        <f t="shared" si="2"/>
        <v>429</v>
      </c>
      <c r="R14" s="6"/>
    </row>
    <row r="15" spans="1:18" s="297" customFormat="1" ht="18.75" customHeight="1">
      <c r="A15" s="378" t="s">
        <v>493</v>
      </c>
      <c r="B15" s="694" t="s">
        <v>488</v>
      </c>
      <c r="C15" s="695">
        <v>0</v>
      </c>
      <c r="D15" s="695">
        <v>0</v>
      </c>
      <c r="E15" s="169">
        <f t="shared" si="0"/>
        <v>0</v>
      </c>
      <c r="F15" s="696"/>
      <c r="G15" s="696"/>
      <c r="H15" s="696"/>
      <c r="I15" s="696"/>
      <c r="J15" s="696"/>
      <c r="K15" s="696"/>
      <c r="L15" s="696"/>
      <c r="M15" s="696"/>
      <c r="N15" s="696"/>
      <c r="O15" s="696"/>
      <c r="P15" s="697">
        <f t="shared" si="2"/>
        <v>0</v>
      </c>
      <c r="R15" s="379"/>
    </row>
    <row r="16" spans="1:18" s="297" customFormat="1" ht="18.75" customHeight="1">
      <c r="A16" s="378" t="s">
        <v>493</v>
      </c>
      <c r="B16" s="694" t="s">
        <v>489</v>
      </c>
      <c r="C16" s="695">
        <v>0</v>
      </c>
      <c r="D16" s="695">
        <v>0</v>
      </c>
      <c r="E16" s="169">
        <f t="shared" si="0"/>
        <v>0</v>
      </c>
      <c r="F16" s="696"/>
      <c r="G16" s="696"/>
      <c r="H16" s="696"/>
      <c r="I16" s="696"/>
      <c r="J16" s="696"/>
      <c r="K16" s="696"/>
      <c r="L16" s="696"/>
      <c r="M16" s="696"/>
      <c r="N16" s="696"/>
      <c r="O16" s="696"/>
      <c r="P16" s="697">
        <f t="shared" si="2"/>
        <v>0</v>
      </c>
      <c r="R16" s="379"/>
    </row>
    <row r="17" spans="1:18" s="297" customFormat="1" ht="18.75" customHeight="1">
      <c r="A17" s="378" t="s">
        <v>493</v>
      </c>
      <c r="B17" s="694" t="s">
        <v>490</v>
      </c>
      <c r="C17" s="695">
        <v>0</v>
      </c>
      <c r="D17" s="695">
        <v>0</v>
      </c>
      <c r="E17" s="169">
        <f t="shared" si="0"/>
        <v>0</v>
      </c>
      <c r="F17" s="696"/>
      <c r="G17" s="696"/>
      <c r="H17" s="696"/>
      <c r="I17" s="696"/>
      <c r="J17" s="696"/>
      <c r="K17" s="696"/>
      <c r="L17" s="696"/>
      <c r="M17" s="696"/>
      <c r="N17" s="696"/>
      <c r="O17" s="696"/>
      <c r="P17" s="697">
        <f t="shared" si="2"/>
        <v>0</v>
      </c>
      <c r="R17" s="379"/>
    </row>
    <row r="18" spans="1:18" s="297" customFormat="1" ht="18.75" customHeight="1">
      <c r="A18" s="378" t="s">
        <v>493</v>
      </c>
      <c r="B18" s="694" t="s">
        <v>491</v>
      </c>
      <c r="C18" s="695">
        <v>0</v>
      </c>
      <c r="D18" s="695">
        <v>0</v>
      </c>
      <c r="E18" s="169">
        <f t="shared" si="0"/>
        <v>429</v>
      </c>
      <c r="F18" s="696"/>
      <c r="G18" s="696">
        <v>278</v>
      </c>
      <c r="H18" s="696">
        <v>55</v>
      </c>
      <c r="I18" s="696">
        <v>55</v>
      </c>
      <c r="J18" s="696"/>
      <c r="K18" s="696"/>
      <c r="L18" s="696"/>
      <c r="M18" s="696"/>
      <c r="N18" s="696"/>
      <c r="O18" s="696">
        <v>41</v>
      </c>
      <c r="P18" s="697">
        <f t="shared" si="2"/>
        <v>429</v>
      </c>
      <c r="R18" s="379"/>
    </row>
    <row r="19" spans="1:18" ht="40.5" customHeight="1">
      <c r="A19" s="381" t="s">
        <v>397</v>
      </c>
      <c r="B19" s="698" t="s">
        <v>495</v>
      </c>
      <c r="C19" s="146">
        <f>SUM(C20:C23)</f>
        <v>0</v>
      </c>
      <c r="D19" s="146">
        <f>SUM(D20:D23)</f>
        <v>135</v>
      </c>
      <c r="E19" s="146">
        <f>SUM(F19:O19)</f>
        <v>156</v>
      </c>
      <c r="F19" s="699">
        <f aca="true" t="shared" si="4" ref="F19:O19">SUM(F20:F23)</f>
        <v>0</v>
      </c>
      <c r="G19" s="699">
        <f t="shared" si="4"/>
        <v>0</v>
      </c>
      <c r="H19" s="699">
        <f t="shared" si="4"/>
        <v>0</v>
      </c>
      <c r="I19" s="699">
        <f t="shared" si="4"/>
        <v>0</v>
      </c>
      <c r="J19" s="699">
        <f t="shared" si="4"/>
        <v>0</v>
      </c>
      <c r="K19" s="699">
        <f t="shared" si="4"/>
        <v>0</v>
      </c>
      <c r="L19" s="699">
        <f t="shared" si="4"/>
        <v>0</v>
      </c>
      <c r="M19" s="699">
        <f t="shared" si="4"/>
        <v>0</v>
      </c>
      <c r="N19" s="699">
        <f t="shared" si="4"/>
        <v>78</v>
      </c>
      <c r="O19" s="699">
        <f t="shared" si="4"/>
        <v>78</v>
      </c>
      <c r="P19" s="700">
        <f t="shared" si="2"/>
        <v>291</v>
      </c>
      <c r="R19" s="6"/>
    </row>
    <row r="20" spans="1:18" s="297" customFormat="1" ht="18.75" customHeight="1">
      <c r="A20" s="378" t="s">
        <v>493</v>
      </c>
      <c r="B20" s="694" t="s">
        <v>488</v>
      </c>
      <c r="C20" s="695">
        <v>0</v>
      </c>
      <c r="D20" s="695">
        <v>0</v>
      </c>
      <c r="E20" s="169">
        <f>SUM(F20:O20)</f>
        <v>0</v>
      </c>
      <c r="F20" s="696"/>
      <c r="G20" s="696"/>
      <c r="H20" s="696"/>
      <c r="I20" s="696"/>
      <c r="J20" s="696"/>
      <c r="K20" s="696"/>
      <c r="L20" s="696"/>
      <c r="M20" s="696"/>
      <c r="N20" s="696"/>
      <c r="O20" s="696"/>
      <c r="P20" s="697">
        <f t="shared" si="2"/>
        <v>0</v>
      </c>
      <c r="R20" s="379"/>
    </row>
    <row r="21" spans="1:18" s="297" customFormat="1" ht="18.75" customHeight="1">
      <c r="A21" s="378" t="s">
        <v>493</v>
      </c>
      <c r="B21" s="694" t="s">
        <v>489</v>
      </c>
      <c r="C21" s="695">
        <v>0</v>
      </c>
      <c r="D21" s="695">
        <v>0</v>
      </c>
      <c r="E21" s="169">
        <f>SUM(F21:O21)</f>
        <v>0</v>
      </c>
      <c r="F21" s="696"/>
      <c r="G21" s="696"/>
      <c r="H21" s="696"/>
      <c r="I21" s="696"/>
      <c r="J21" s="696"/>
      <c r="K21" s="696"/>
      <c r="L21" s="696"/>
      <c r="M21" s="696"/>
      <c r="N21" s="696"/>
      <c r="O21" s="696"/>
      <c r="P21" s="697">
        <f t="shared" si="2"/>
        <v>0</v>
      </c>
      <c r="R21" s="379"/>
    </row>
    <row r="22" spans="1:18" s="297" customFormat="1" ht="18.75" customHeight="1">
      <c r="A22" s="378" t="s">
        <v>493</v>
      </c>
      <c r="B22" s="694" t="s">
        <v>490</v>
      </c>
      <c r="C22" s="695">
        <v>0</v>
      </c>
      <c r="D22" s="695">
        <v>0</v>
      </c>
      <c r="E22" s="169">
        <f>SUM(F22:O22)</f>
        <v>0</v>
      </c>
      <c r="F22" s="696"/>
      <c r="G22" s="696"/>
      <c r="H22" s="696"/>
      <c r="I22" s="696"/>
      <c r="J22" s="696"/>
      <c r="K22" s="696"/>
      <c r="L22" s="696"/>
      <c r="M22" s="696"/>
      <c r="N22" s="696"/>
      <c r="O22" s="696"/>
      <c r="P22" s="697">
        <f t="shared" si="2"/>
        <v>0</v>
      </c>
      <c r="R22" s="379"/>
    </row>
    <row r="23" spans="1:18" s="297" customFormat="1" ht="18.75" customHeight="1">
      <c r="A23" s="378" t="s">
        <v>493</v>
      </c>
      <c r="B23" s="694" t="s">
        <v>491</v>
      </c>
      <c r="C23" s="695">
        <v>0</v>
      </c>
      <c r="D23" s="695">
        <v>135</v>
      </c>
      <c r="E23" s="169">
        <f>SUM(F23:O23)</f>
        <v>156</v>
      </c>
      <c r="F23" s="696"/>
      <c r="G23" s="696"/>
      <c r="H23" s="696"/>
      <c r="I23" s="696"/>
      <c r="J23" s="696"/>
      <c r="K23" s="696"/>
      <c r="L23" s="696"/>
      <c r="M23" s="696"/>
      <c r="N23" s="696">
        <v>78</v>
      </c>
      <c r="O23" s="696">
        <v>78</v>
      </c>
      <c r="P23" s="697">
        <f t="shared" si="2"/>
        <v>291</v>
      </c>
      <c r="R23" s="379"/>
    </row>
    <row r="24" spans="1:18" ht="28.5" customHeight="1">
      <c r="A24" s="381" t="s">
        <v>506</v>
      </c>
      <c r="B24" s="698" t="s">
        <v>496</v>
      </c>
      <c r="C24" s="146">
        <f>SUM(C25:C28)</f>
        <v>0</v>
      </c>
      <c r="D24" s="146">
        <f>SUM(D25:D28)</f>
        <v>1462</v>
      </c>
      <c r="E24" s="146">
        <f aca="true" t="shared" si="5" ref="E24:O24">SUM(E25:E28)</f>
        <v>183</v>
      </c>
      <c r="F24" s="699">
        <f t="shared" si="5"/>
        <v>0</v>
      </c>
      <c r="G24" s="699">
        <f t="shared" si="5"/>
        <v>0</v>
      </c>
      <c r="H24" s="699">
        <f t="shared" si="5"/>
        <v>0</v>
      </c>
      <c r="I24" s="699">
        <f t="shared" si="5"/>
        <v>0</v>
      </c>
      <c r="J24" s="699">
        <f t="shared" si="5"/>
        <v>0</v>
      </c>
      <c r="K24" s="699">
        <f t="shared" si="5"/>
        <v>0</v>
      </c>
      <c r="L24" s="699">
        <f t="shared" si="5"/>
        <v>0</v>
      </c>
      <c r="M24" s="699">
        <f t="shared" si="5"/>
        <v>0</v>
      </c>
      <c r="N24" s="699">
        <f t="shared" si="5"/>
        <v>183</v>
      </c>
      <c r="O24" s="699">
        <f t="shared" si="5"/>
        <v>0</v>
      </c>
      <c r="P24" s="700">
        <f t="shared" si="2"/>
        <v>1645</v>
      </c>
      <c r="R24" s="6"/>
    </row>
    <row r="25" spans="1:18" s="297" customFormat="1" ht="18.75" customHeight="1">
      <c r="A25" s="378" t="s">
        <v>493</v>
      </c>
      <c r="B25" s="694" t="s">
        <v>488</v>
      </c>
      <c r="C25" s="695">
        <v>0</v>
      </c>
      <c r="D25" s="695">
        <v>0</v>
      </c>
      <c r="E25" s="169">
        <f aca="true" t="shared" si="6" ref="E25:E73">SUM(F25:O25)</f>
        <v>0</v>
      </c>
      <c r="F25" s="696"/>
      <c r="G25" s="696"/>
      <c r="H25" s="696"/>
      <c r="I25" s="696"/>
      <c r="J25" s="696"/>
      <c r="K25" s="696"/>
      <c r="L25" s="696"/>
      <c r="M25" s="696"/>
      <c r="N25" s="696"/>
      <c r="O25" s="696"/>
      <c r="P25" s="701">
        <f t="shared" si="2"/>
        <v>0</v>
      </c>
      <c r="R25" s="379"/>
    </row>
    <row r="26" spans="1:18" s="297" customFormat="1" ht="18.75" customHeight="1">
      <c r="A26" s="378" t="s">
        <v>493</v>
      </c>
      <c r="B26" s="694" t="s">
        <v>489</v>
      </c>
      <c r="C26" s="695">
        <v>0</v>
      </c>
      <c r="D26" s="695">
        <v>0</v>
      </c>
      <c r="E26" s="169">
        <f t="shared" si="6"/>
        <v>0</v>
      </c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701">
        <f t="shared" si="2"/>
        <v>0</v>
      </c>
      <c r="R26" s="379"/>
    </row>
    <row r="27" spans="1:18" s="297" customFormat="1" ht="18.75" customHeight="1">
      <c r="A27" s="378" t="s">
        <v>493</v>
      </c>
      <c r="B27" s="694" t="s">
        <v>490</v>
      </c>
      <c r="C27" s="695">
        <v>0</v>
      </c>
      <c r="D27" s="695">
        <v>1462</v>
      </c>
      <c r="E27" s="169">
        <f t="shared" si="6"/>
        <v>183</v>
      </c>
      <c r="F27" s="696"/>
      <c r="G27" s="696"/>
      <c r="H27" s="696"/>
      <c r="I27" s="696"/>
      <c r="J27" s="696"/>
      <c r="K27" s="696"/>
      <c r="L27" s="696"/>
      <c r="M27" s="696"/>
      <c r="N27" s="696">
        <v>183</v>
      </c>
      <c r="O27" s="696"/>
      <c r="P27" s="701">
        <f t="shared" si="2"/>
        <v>1645</v>
      </c>
      <c r="R27" s="379"/>
    </row>
    <row r="28" spans="1:18" s="297" customFormat="1" ht="18.75" customHeight="1">
      <c r="A28" s="378" t="s">
        <v>493</v>
      </c>
      <c r="B28" s="694" t="s">
        <v>491</v>
      </c>
      <c r="C28" s="695">
        <v>0</v>
      </c>
      <c r="D28" s="695">
        <v>0</v>
      </c>
      <c r="E28" s="169">
        <f t="shared" si="6"/>
        <v>0</v>
      </c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701">
        <f t="shared" si="2"/>
        <v>0</v>
      </c>
      <c r="R28" s="379"/>
    </row>
    <row r="29" spans="1:18" ht="27.75" customHeight="1">
      <c r="A29" s="381" t="s">
        <v>507</v>
      </c>
      <c r="B29" s="698" t="s">
        <v>497</v>
      </c>
      <c r="C29" s="146">
        <f>SUM(C30:C33)</f>
        <v>0</v>
      </c>
      <c r="D29" s="146">
        <f>SUM(D30:D33)</f>
        <v>558</v>
      </c>
      <c r="E29" s="146">
        <f t="shared" si="6"/>
        <v>560</v>
      </c>
      <c r="F29" s="699">
        <f aca="true" t="shared" si="7" ref="F29:O29">SUM(F30:F33)</f>
        <v>0</v>
      </c>
      <c r="G29" s="699">
        <f t="shared" si="7"/>
        <v>0</v>
      </c>
      <c r="H29" s="699">
        <f t="shared" si="7"/>
        <v>124</v>
      </c>
      <c r="I29" s="699">
        <f t="shared" si="7"/>
        <v>126</v>
      </c>
      <c r="J29" s="699">
        <f t="shared" si="7"/>
        <v>0</v>
      </c>
      <c r="K29" s="699">
        <f t="shared" si="7"/>
        <v>0</v>
      </c>
      <c r="L29" s="699">
        <f t="shared" si="7"/>
        <v>124</v>
      </c>
      <c r="M29" s="699">
        <f t="shared" si="7"/>
        <v>0</v>
      </c>
      <c r="N29" s="699">
        <f t="shared" si="7"/>
        <v>62</v>
      </c>
      <c r="O29" s="699">
        <f t="shared" si="7"/>
        <v>124</v>
      </c>
      <c r="P29" s="700">
        <f t="shared" si="2"/>
        <v>1118</v>
      </c>
      <c r="R29" s="6"/>
    </row>
    <row r="30" spans="1:18" s="297" customFormat="1" ht="18.75" customHeight="1">
      <c r="A30" s="378" t="s">
        <v>493</v>
      </c>
      <c r="B30" s="694" t="s">
        <v>488</v>
      </c>
      <c r="C30" s="695">
        <v>0</v>
      </c>
      <c r="D30" s="695">
        <v>0</v>
      </c>
      <c r="E30" s="169">
        <f t="shared" si="6"/>
        <v>0</v>
      </c>
      <c r="F30" s="696"/>
      <c r="G30" s="696"/>
      <c r="H30" s="696"/>
      <c r="I30" s="696"/>
      <c r="J30" s="696"/>
      <c r="K30" s="696"/>
      <c r="L30" s="696"/>
      <c r="M30" s="696"/>
      <c r="N30" s="696"/>
      <c r="O30" s="696"/>
      <c r="P30" s="701">
        <f t="shared" si="2"/>
        <v>0</v>
      </c>
      <c r="R30" s="379"/>
    </row>
    <row r="31" spans="1:18" s="297" customFormat="1" ht="18.75" customHeight="1">
      <c r="A31" s="378" t="s">
        <v>493</v>
      </c>
      <c r="B31" s="694" t="s">
        <v>489</v>
      </c>
      <c r="C31" s="695">
        <v>0</v>
      </c>
      <c r="D31" s="695">
        <v>0</v>
      </c>
      <c r="E31" s="169">
        <f t="shared" si="6"/>
        <v>0</v>
      </c>
      <c r="F31" s="696"/>
      <c r="G31" s="696"/>
      <c r="H31" s="696"/>
      <c r="I31" s="696"/>
      <c r="J31" s="696"/>
      <c r="K31" s="696"/>
      <c r="L31" s="696"/>
      <c r="M31" s="696"/>
      <c r="N31" s="696"/>
      <c r="O31" s="696"/>
      <c r="P31" s="701">
        <f t="shared" si="2"/>
        <v>0</v>
      </c>
      <c r="R31" s="379"/>
    </row>
    <row r="32" spans="1:18" s="297" customFormat="1" ht="18.75" customHeight="1">
      <c r="A32" s="378" t="s">
        <v>493</v>
      </c>
      <c r="B32" s="694" t="s">
        <v>490</v>
      </c>
      <c r="C32" s="695">
        <v>0</v>
      </c>
      <c r="D32" s="695">
        <v>0</v>
      </c>
      <c r="E32" s="169">
        <f t="shared" si="6"/>
        <v>0</v>
      </c>
      <c r="F32" s="696"/>
      <c r="G32" s="696"/>
      <c r="H32" s="696"/>
      <c r="I32" s="696"/>
      <c r="J32" s="696"/>
      <c r="K32" s="696"/>
      <c r="L32" s="696"/>
      <c r="M32" s="696"/>
      <c r="N32" s="696"/>
      <c r="O32" s="696"/>
      <c r="P32" s="701">
        <f t="shared" si="2"/>
        <v>0</v>
      </c>
      <c r="R32" s="379"/>
    </row>
    <row r="33" spans="1:18" s="297" customFormat="1" ht="18.75" customHeight="1">
      <c r="A33" s="378" t="s">
        <v>493</v>
      </c>
      <c r="B33" s="694" t="s">
        <v>491</v>
      </c>
      <c r="C33" s="169">
        <v>0</v>
      </c>
      <c r="D33" s="695">
        <v>558</v>
      </c>
      <c r="E33" s="169">
        <f t="shared" si="6"/>
        <v>560</v>
      </c>
      <c r="F33" s="696"/>
      <c r="G33" s="696"/>
      <c r="H33" s="696">
        <v>124</v>
      </c>
      <c r="I33" s="696">
        <v>126</v>
      </c>
      <c r="J33" s="696"/>
      <c r="K33" s="696"/>
      <c r="L33" s="696">
        <v>124</v>
      </c>
      <c r="M33" s="696"/>
      <c r="N33" s="696">
        <v>62</v>
      </c>
      <c r="O33" s="696">
        <v>124</v>
      </c>
      <c r="P33" s="701">
        <f t="shared" si="2"/>
        <v>1118</v>
      </c>
      <c r="R33" s="379"/>
    </row>
    <row r="34" spans="1:18" ht="27.75" customHeight="1">
      <c r="A34" s="381" t="s">
        <v>508</v>
      </c>
      <c r="B34" s="698" t="s">
        <v>498</v>
      </c>
      <c r="C34" s="146">
        <f>SUM(C35:C38)</f>
        <v>0</v>
      </c>
      <c r="D34" s="146">
        <f>SUM(D35:D38)</f>
        <v>0</v>
      </c>
      <c r="E34" s="146">
        <f t="shared" si="6"/>
        <v>5920</v>
      </c>
      <c r="F34" s="699">
        <f aca="true" t="shared" si="8" ref="F34:O34">SUM(F35:F38)</f>
        <v>4528</v>
      </c>
      <c r="G34" s="699">
        <f t="shared" si="8"/>
        <v>0</v>
      </c>
      <c r="H34" s="699">
        <f t="shared" si="8"/>
        <v>696</v>
      </c>
      <c r="I34" s="699">
        <f t="shared" si="8"/>
        <v>0</v>
      </c>
      <c r="J34" s="699">
        <f t="shared" si="8"/>
        <v>0</v>
      </c>
      <c r="K34" s="699">
        <f t="shared" si="8"/>
        <v>0</v>
      </c>
      <c r="L34" s="699">
        <f t="shared" si="8"/>
        <v>0</v>
      </c>
      <c r="M34" s="699">
        <f t="shared" si="8"/>
        <v>0</v>
      </c>
      <c r="N34" s="699">
        <f t="shared" si="8"/>
        <v>0</v>
      </c>
      <c r="O34" s="699">
        <f t="shared" si="8"/>
        <v>696</v>
      </c>
      <c r="P34" s="700">
        <f t="shared" si="2"/>
        <v>5920</v>
      </c>
      <c r="R34" s="6"/>
    </row>
    <row r="35" spans="1:18" s="297" customFormat="1" ht="18.75" customHeight="1">
      <c r="A35" s="378" t="s">
        <v>493</v>
      </c>
      <c r="B35" s="694" t="s">
        <v>488</v>
      </c>
      <c r="C35" s="695">
        <v>0</v>
      </c>
      <c r="D35" s="695">
        <v>0</v>
      </c>
      <c r="E35" s="169">
        <f t="shared" si="6"/>
        <v>5920</v>
      </c>
      <c r="F35" s="696">
        <v>4528</v>
      </c>
      <c r="G35" s="696"/>
      <c r="H35" s="696">
        <v>696</v>
      </c>
      <c r="I35" s="696"/>
      <c r="J35" s="696"/>
      <c r="K35" s="696"/>
      <c r="L35" s="696"/>
      <c r="M35" s="696"/>
      <c r="N35" s="696"/>
      <c r="O35" s="696">
        <v>696</v>
      </c>
      <c r="P35" s="701">
        <f t="shared" si="2"/>
        <v>5920</v>
      </c>
      <c r="R35" s="379"/>
    </row>
    <row r="36" spans="1:18" s="297" customFormat="1" ht="18.75" customHeight="1">
      <c r="A36" s="378" t="s">
        <v>493</v>
      </c>
      <c r="B36" s="694" t="s">
        <v>489</v>
      </c>
      <c r="C36" s="695">
        <v>0</v>
      </c>
      <c r="D36" s="695">
        <v>0</v>
      </c>
      <c r="E36" s="169">
        <f t="shared" si="6"/>
        <v>0</v>
      </c>
      <c r="F36" s="696"/>
      <c r="G36" s="696"/>
      <c r="H36" s="696"/>
      <c r="I36" s="696"/>
      <c r="J36" s="696"/>
      <c r="K36" s="696"/>
      <c r="L36" s="696"/>
      <c r="M36" s="696"/>
      <c r="N36" s="696"/>
      <c r="O36" s="696"/>
      <c r="P36" s="701">
        <f t="shared" si="2"/>
        <v>0</v>
      </c>
      <c r="R36" s="379"/>
    </row>
    <row r="37" spans="1:18" s="297" customFormat="1" ht="18.75" customHeight="1">
      <c r="A37" s="378" t="s">
        <v>493</v>
      </c>
      <c r="B37" s="694" t="s">
        <v>490</v>
      </c>
      <c r="C37" s="695">
        <v>0</v>
      </c>
      <c r="D37" s="695">
        <v>0</v>
      </c>
      <c r="E37" s="169">
        <f t="shared" si="6"/>
        <v>0</v>
      </c>
      <c r="F37" s="696"/>
      <c r="G37" s="696"/>
      <c r="H37" s="696"/>
      <c r="I37" s="696"/>
      <c r="J37" s="696"/>
      <c r="K37" s="696"/>
      <c r="L37" s="696"/>
      <c r="M37" s="696"/>
      <c r="N37" s="696"/>
      <c r="O37" s="696"/>
      <c r="P37" s="701">
        <f t="shared" si="2"/>
        <v>0</v>
      </c>
      <c r="R37" s="379"/>
    </row>
    <row r="38" spans="1:18" s="297" customFormat="1" ht="18.75" customHeight="1">
      <c r="A38" s="378" t="s">
        <v>493</v>
      </c>
      <c r="B38" s="694" t="s">
        <v>491</v>
      </c>
      <c r="C38" s="695">
        <v>0</v>
      </c>
      <c r="D38" s="695">
        <v>0</v>
      </c>
      <c r="E38" s="169">
        <f t="shared" si="6"/>
        <v>0</v>
      </c>
      <c r="F38" s="696"/>
      <c r="G38" s="696"/>
      <c r="H38" s="696"/>
      <c r="I38" s="696"/>
      <c r="J38" s="696"/>
      <c r="K38" s="696"/>
      <c r="L38" s="696"/>
      <c r="M38" s="696"/>
      <c r="N38" s="696"/>
      <c r="O38" s="696"/>
      <c r="P38" s="701">
        <f t="shared" si="2"/>
        <v>0</v>
      </c>
      <c r="R38" s="379"/>
    </row>
    <row r="39" spans="1:18" ht="28.5" customHeight="1">
      <c r="A39" s="381" t="s">
        <v>509</v>
      </c>
      <c r="B39" s="698" t="s">
        <v>499</v>
      </c>
      <c r="C39" s="146">
        <f>SUM(C40:C43)</f>
        <v>0</v>
      </c>
      <c r="D39" s="146">
        <f>SUM(D40:D43)</f>
        <v>151</v>
      </c>
      <c r="E39" s="146">
        <f t="shared" si="6"/>
        <v>94</v>
      </c>
      <c r="F39" s="699">
        <f aca="true" t="shared" si="9" ref="F39:O39">SUM(F40:F43)</f>
        <v>0</v>
      </c>
      <c r="G39" s="699">
        <f t="shared" si="9"/>
        <v>0</v>
      </c>
      <c r="H39" s="699">
        <f t="shared" si="9"/>
        <v>47</v>
      </c>
      <c r="I39" s="699">
        <f t="shared" si="9"/>
        <v>0</v>
      </c>
      <c r="J39" s="699">
        <f t="shared" si="9"/>
        <v>0</v>
      </c>
      <c r="K39" s="699">
        <f t="shared" si="9"/>
        <v>0</v>
      </c>
      <c r="L39" s="699">
        <f t="shared" si="9"/>
        <v>0</v>
      </c>
      <c r="M39" s="699">
        <f t="shared" si="9"/>
        <v>0</v>
      </c>
      <c r="N39" s="699">
        <f t="shared" si="9"/>
        <v>0</v>
      </c>
      <c r="O39" s="699">
        <f t="shared" si="9"/>
        <v>47</v>
      </c>
      <c r="P39" s="700">
        <f t="shared" si="2"/>
        <v>245</v>
      </c>
      <c r="R39" s="6"/>
    </row>
    <row r="40" spans="1:18" s="297" customFormat="1" ht="18.75" customHeight="1">
      <c r="A40" s="378" t="s">
        <v>493</v>
      </c>
      <c r="B40" s="694" t="s">
        <v>488</v>
      </c>
      <c r="C40" s="695">
        <v>0</v>
      </c>
      <c r="D40" s="695">
        <v>0</v>
      </c>
      <c r="E40" s="169">
        <f t="shared" si="6"/>
        <v>0</v>
      </c>
      <c r="F40" s="696"/>
      <c r="G40" s="696"/>
      <c r="H40" s="696"/>
      <c r="I40" s="696"/>
      <c r="J40" s="696"/>
      <c r="K40" s="696"/>
      <c r="L40" s="696"/>
      <c r="M40" s="696"/>
      <c r="N40" s="696"/>
      <c r="O40" s="696"/>
      <c r="P40" s="701">
        <f t="shared" si="2"/>
        <v>0</v>
      </c>
      <c r="R40" s="379"/>
    </row>
    <row r="41" spans="1:18" s="297" customFormat="1" ht="18.75" customHeight="1">
      <c r="A41" s="378" t="s">
        <v>493</v>
      </c>
      <c r="B41" s="694" t="s">
        <v>489</v>
      </c>
      <c r="C41" s="695">
        <v>0</v>
      </c>
      <c r="D41" s="695">
        <v>0</v>
      </c>
      <c r="E41" s="169">
        <f t="shared" si="6"/>
        <v>0</v>
      </c>
      <c r="F41" s="696"/>
      <c r="G41" s="696"/>
      <c r="H41" s="696"/>
      <c r="I41" s="696"/>
      <c r="J41" s="696"/>
      <c r="K41" s="696"/>
      <c r="L41" s="696"/>
      <c r="M41" s="696"/>
      <c r="N41" s="696"/>
      <c r="O41" s="696"/>
      <c r="P41" s="701">
        <f aca="true" t="shared" si="10" ref="P41:P73">C41+D41+E41</f>
        <v>0</v>
      </c>
      <c r="R41" s="379"/>
    </row>
    <row r="42" spans="1:18" s="297" customFormat="1" ht="18.75" customHeight="1">
      <c r="A42" s="378" t="s">
        <v>493</v>
      </c>
      <c r="B42" s="694" t="s">
        <v>490</v>
      </c>
      <c r="C42" s="695">
        <v>0</v>
      </c>
      <c r="D42" s="695">
        <v>0</v>
      </c>
      <c r="E42" s="169">
        <f t="shared" si="6"/>
        <v>0</v>
      </c>
      <c r="F42" s="696"/>
      <c r="G42" s="696"/>
      <c r="H42" s="696"/>
      <c r="I42" s="696"/>
      <c r="J42" s="696"/>
      <c r="K42" s="696"/>
      <c r="L42" s="696"/>
      <c r="M42" s="696"/>
      <c r="N42" s="696"/>
      <c r="O42" s="696"/>
      <c r="P42" s="701">
        <f t="shared" si="10"/>
        <v>0</v>
      </c>
      <c r="R42" s="379"/>
    </row>
    <row r="43" spans="1:18" s="297" customFormat="1" ht="18.75" customHeight="1">
      <c r="A43" s="378" t="s">
        <v>493</v>
      </c>
      <c r="B43" s="694" t="s">
        <v>491</v>
      </c>
      <c r="C43" s="695">
        <v>0</v>
      </c>
      <c r="D43" s="695">
        <v>151</v>
      </c>
      <c r="E43" s="169">
        <f t="shared" si="6"/>
        <v>94</v>
      </c>
      <c r="F43" s="696"/>
      <c r="G43" s="696"/>
      <c r="H43" s="696">
        <v>47</v>
      </c>
      <c r="I43" s="696"/>
      <c r="J43" s="696"/>
      <c r="K43" s="696"/>
      <c r="L43" s="696"/>
      <c r="M43" s="696"/>
      <c r="N43" s="696"/>
      <c r="O43" s="696">
        <v>47</v>
      </c>
      <c r="P43" s="701">
        <f t="shared" si="10"/>
        <v>245</v>
      </c>
      <c r="R43" s="379"/>
    </row>
    <row r="44" spans="1:18" ht="30" customHeight="1">
      <c r="A44" s="381" t="s">
        <v>510</v>
      </c>
      <c r="B44" s="698" t="s">
        <v>500</v>
      </c>
      <c r="C44" s="146">
        <f>SUM(C45:C48)</f>
        <v>0</v>
      </c>
      <c r="D44" s="146">
        <f>SUM(D45:D48)</f>
        <v>296</v>
      </c>
      <c r="E44" s="146">
        <f t="shared" si="6"/>
        <v>255</v>
      </c>
      <c r="F44" s="699">
        <f aca="true" t="shared" si="11" ref="F44:O44">SUM(F45:F48)</f>
        <v>0</v>
      </c>
      <c r="G44" s="699">
        <f t="shared" si="11"/>
        <v>0</v>
      </c>
      <c r="H44" s="699">
        <f t="shared" si="11"/>
        <v>85</v>
      </c>
      <c r="I44" s="699">
        <f t="shared" si="11"/>
        <v>0</v>
      </c>
      <c r="J44" s="699">
        <f t="shared" si="11"/>
        <v>0</v>
      </c>
      <c r="K44" s="699">
        <f t="shared" si="11"/>
        <v>0</v>
      </c>
      <c r="L44" s="699">
        <f t="shared" si="11"/>
        <v>0</v>
      </c>
      <c r="M44" s="699">
        <f t="shared" si="11"/>
        <v>0</v>
      </c>
      <c r="N44" s="699">
        <f t="shared" si="11"/>
        <v>85</v>
      </c>
      <c r="O44" s="699">
        <f t="shared" si="11"/>
        <v>85</v>
      </c>
      <c r="P44" s="700">
        <f t="shared" si="10"/>
        <v>551</v>
      </c>
      <c r="R44" s="6"/>
    </row>
    <row r="45" spans="1:18" s="297" customFormat="1" ht="18.75" customHeight="1">
      <c r="A45" s="378" t="s">
        <v>493</v>
      </c>
      <c r="B45" s="694" t="s">
        <v>488</v>
      </c>
      <c r="C45" s="695">
        <v>0</v>
      </c>
      <c r="D45" s="695">
        <v>0</v>
      </c>
      <c r="E45" s="169">
        <f t="shared" si="6"/>
        <v>0</v>
      </c>
      <c r="F45" s="696"/>
      <c r="G45" s="696"/>
      <c r="H45" s="696"/>
      <c r="I45" s="696"/>
      <c r="J45" s="696"/>
      <c r="K45" s="696"/>
      <c r="L45" s="696"/>
      <c r="M45" s="696"/>
      <c r="N45" s="696"/>
      <c r="O45" s="696"/>
      <c r="P45" s="701">
        <f t="shared" si="10"/>
        <v>0</v>
      </c>
      <c r="R45" s="379"/>
    </row>
    <row r="46" spans="1:18" s="297" customFormat="1" ht="18.75" customHeight="1">
      <c r="A46" s="378" t="s">
        <v>493</v>
      </c>
      <c r="B46" s="694" t="s">
        <v>489</v>
      </c>
      <c r="C46" s="695">
        <v>0</v>
      </c>
      <c r="D46" s="695">
        <v>0</v>
      </c>
      <c r="E46" s="169">
        <f t="shared" si="6"/>
        <v>0</v>
      </c>
      <c r="F46" s="696"/>
      <c r="G46" s="696"/>
      <c r="H46" s="696"/>
      <c r="I46" s="696"/>
      <c r="J46" s="696"/>
      <c r="K46" s="696"/>
      <c r="L46" s="696"/>
      <c r="M46" s="696"/>
      <c r="N46" s="696"/>
      <c r="O46" s="696"/>
      <c r="P46" s="701">
        <f t="shared" si="10"/>
        <v>0</v>
      </c>
      <c r="R46" s="379"/>
    </row>
    <row r="47" spans="1:18" s="297" customFormat="1" ht="18.75" customHeight="1">
      <c r="A47" s="378" t="s">
        <v>493</v>
      </c>
      <c r="B47" s="694" t="s">
        <v>490</v>
      </c>
      <c r="C47" s="695">
        <v>0</v>
      </c>
      <c r="D47" s="695">
        <v>0</v>
      </c>
      <c r="E47" s="169">
        <f t="shared" si="6"/>
        <v>0</v>
      </c>
      <c r="F47" s="696"/>
      <c r="G47" s="696"/>
      <c r="H47" s="696"/>
      <c r="I47" s="696"/>
      <c r="J47" s="696"/>
      <c r="K47" s="696"/>
      <c r="L47" s="696"/>
      <c r="M47" s="696"/>
      <c r="N47" s="696"/>
      <c r="O47" s="696"/>
      <c r="P47" s="701">
        <f t="shared" si="10"/>
        <v>0</v>
      </c>
      <c r="R47" s="379"/>
    </row>
    <row r="48" spans="1:18" s="297" customFormat="1" ht="18.75" customHeight="1">
      <c r="A48" s="378" t="s">
        <v>493</v>
      </c>
      <c r="B48" s="694" t="s">
        <v>491</v>
      </c>
      <c r="C48" s="695">
        <v>0</v>
      </c>
      <c r="D48" s="695">
        <v>296</v>
      </c>
      <c r="E48" s="169">
        <f t="shared" si="6"/>
        <v>255</v>
      </c>
      <c r="F48" s="696"/>
      <c r="G48" s="696"/>
      <c r="H48" s="696">
        <v>85</v>
      </c>
      <c r="I48" s="696"/>
      <c r="J48" s="696"/>
      <c r="K48" s="696"/>
      <c r="L48" s="696"/>
      <c r="M48" s="696"/>
      <c r="N48" s="696">
        <v>85</v>
      </c>
      <c r="O48" s="696">
        <v>85</v>
      </c>
      <c r="P48" s="701">
        <f t="shared" si="10"/>
        <v>551</v>
      </c>
      <c r="R48" s="379"/>
    </row>
    <row r="49" spans="1:18" ht="30" customHeight="1">
      <c r="A49" s="381" t="s">
        <v>511</v>
      </c>
      <c r="B49" s="698" t="s">
        <v>501</v>
      </c>
      <c r="C49" s="146">
        <f>SUM(C50:C53)</f>
        <v>0</v>
      </c>
      <c r="D49" s="146">
        <f>SUM(D50:D53)</f>
        <v>11030</v>
      </c>
      <c r="E49" s="146">
        <f t="shared" si="6"/>
        <v>6529</v>
      </c>
      <c r="F49" s="699">
        <f aca="true" t="shared" si="12" ref="F49:O49">SUM(F50:F53)</f>
        <v>0</v>
      </c>
      <c r="G49" s="699">
        <f t="shared" si="12"/>
        <v>0</v>
      </c>
      <c r="H49" s="699">
        <f t="shared" si="12"/>
        <v>1415</v>
      </c>
      <c r="I49" s="699">
        <f t="shared" si="12"/>
        <v>849</v>
      </c>
      <c r="J49" s="699">
        <f t="shared" si="12"/>
        <v>283</v>
      </c>
      <c r="K49" s="699">
        <f t="shared" si="12"/>
        <v>283</v>
      </c>
      <c r="L49" s="699">
        <f t="shared" si="12"/>
        <v>849</v>
      </c>
      <c r="M49" s="699">
        <f t="shared" si="12"/>
        <v>566</v>
      </c>
      <c r="N49" s="699">
        <f t="shared" si="12"/>
        <v>587</v>
      </c>
      <c r="O49" s="699">
        <f t="shared" si="12"/>
        <v>1697</v>
      </c>
      <c r="P49" s="700">
        <f t="shared" si="10"/>
        <v>17559</v>
      </c>
      <c r="R49" s="6"/>
    </row>
    <row r="50" spans="1:18" s="297" customFormat="1" ht="18.75" customHeight="1">
      <c r="A50" s="378" t="s">
        <v>493</v>
      </c>
      <c r="B50" s="694" t="s">
        <v>488</v>
      </c>
      <c r="C50" s="695">
        <v>0</v>
      </c>
      <c r="D50" s="695">
        <v>0</v>
      </c>
      <c r="E50" s="169">
        <f t="shared" si="6"/>
        <v>0</v>
      </c>
      <c r="F50" s="696"/>
      <c r="G50" s="696"/>
      <c r="H50" s="696"/>
      <c r="I50" s="696"/>
      <c r="J50" s="696"/>
      <c r="K50" s="696"/>
      <c r="L50" s="696"/>
      <c r="M50" s="696"/>
      <c r="N50" s="696"/>
      <c r="O50" s="696"/>
      <c r="P50" s="701">
        <f t="shared" si="10"/>
        <v>0</v>
      </c>
      <c r="R50" s="379"/>
    </row>
    <row r="51" spans="1:18" s="297" customFormat="1" ht="18.75" customHeight="1">
      <c r="A51" s="378" t="s">
        <v>493</v>
      </c>
      <c r="B51" s="694" t="s">
        <v>489</v>
      </c>
      <c r="C51" s="695">
        <v>0</v>
      </c>
      <c r="D51" s="695">
        <v>1691</v>
      </c>
      <c r="E51" s="169">
        <f t="shared" si="6"/>
        <v>1060</v>
      </c>
      <c r="F51" s="696"/>
      <c r="G51" s="696"/>
      <c r="H51" s="696">
        <v>212</v>
      </c>
      <c r="I51" s="696">
        <v>141</v>
      </c>
      <c r="J51" s="696">
        <v>71</v>
      </c>
      <c r="K51" s="696">
        <v>71</v>
      </c>
      <c r="L51" s="696">
        <v>141</v>
      </c>
      <c r="M51" s="696">
        <v>71</v>
      </c>
      <c r="N51" s="696">
        <v>71</v>
      </c>
      <c r="O51" s="696">
        <v>282</v>
      </c>
      <c r="P51" s="701">
        <f t="shared" si="10"/>
        <v>2751</v>
      </c>
      <c r="R51" s="379"/>
    </row>
    <row r="52" spans="1:18" s="297" customFormat="1" ht="18.75" customHeight="1">
      <c r="A52" s="378" t="s">
        <v>493</v>
      </c>
      <c r="B52" s="694" t="s">
        <v>490</v>
      </c>
      <c r="C52" s="695">
        <v>0</v>
      </c>
      <c r="D52" s="695">
        <v>9339</v>
      </c>
      <c r="E52" s="169">
        <f t="shared" si="6"/>
        <v>5469</v>
      </c>
      <c r="F52" s="696"/>
      <c r="G52" s="696"/>
      <c r="H52" s="696">
        <v>1203</v>
      </c>
      <c r="I52" s="696">
        <v>708</v>
      </c>
      <c r="J52" s="696">
        <v>212</v>
      </c>
      <c r="K52" s="696">
        <v>212</v>
      </c>
      <c r="L52" s="696">
        <v>708</v>
      </c>
      <c r="M52" s="696">
        <v>495</v>
      </c>
      <c r="N52" s="696">
        <v>516</v>
      </c>
      <c r="O52" s="696">
        <v>1415</v>
      </c>
      <c r="P52" s="701">
        <f t="shared" si="10"/>
        <v>14808</v>
      </c>
      <c r="R52" s="379"/>
    </row>
    <row r="53" spans="1:18" s="297" customFormat="1" ht="18.75" customHeight="1">
      <c r="A53" s="378" t="s">
        <v>493</v>
      </c>
      <c r="B53" s="694" t="s">
        <v>491</v>
      </c>
      <c r="C53" s="695">
        <v>0</v>
      </c>
      <c r="D53" s="695"/>
      <c r="E53" s="169">
        <f t="shared" si="6"/>
        <v>0</v>
      </c>
      <c r="F53" s="696"/>
      <c r="G53" s="696"/>
      <c r="H53" s="696"/>
      <c r="I53" s="696"/>
      <c r="J53" s="696"/>
      <c r="K53" s="696"/>
      <c r="L53" s="696"/>
      <c r="M53" s="696"/>
      <c r="N53" s="696"/>
      <c r="O53" s="696"/>
      <c r="P53" s="701">
        <f t="shared" si="10"/>
        <v>0</v>
      </c>
      <c r="R53" s="379"/>
    </row>
    <row r="54" spans="1:18" ht="29.25" customHeight="1">
      <c r="A54" s="381" t="s">
        <v>512</v>
      </c>
      <c r="B54" s="698" t="s">
        <v>502</v>
      </c>
      <c r="C54" s="146">
        <f>SUM(C55:C58)</f>
        <v>0</v>
      </c>
      <c r="D54" s="146">
        <f>SUM(D55:D58)</f>
        <v>68</v>
      </c>
      <c r="E54" s="146">
        <f t="shared" si="6"/>
        <v>9</v>
      </c>
      <c r="F54" s="699">
        <f aca="true" t="shared" si="13" ref="F54:O54">SUM(F55:F58)</f>
        <v>0</v>
      </c>
      <c r="G54" s="699">
        <f t="shared" si="13"/>
        <v>0</v>
      </c>
      <c r="H54" s="699">
        <f t="shared" si="13"/>
        <v>0</v>
      </c>
      <c r="I54" s="699">
        <f t="shared" si="13"/>
        <v>0</v>
      </c>
      <c r="J54" s="699">
        <f t="shared" si="13"/>
        <v>0</v>
      </c>
      <c r="K54" s="699">
        <f t="shared" si="13"/>
        <v>0</v>
      </c>
      <c r="L54" s="699">
        <f t="shared" si="13"/>
        <v>0</v>
      </c>
      <c r="M54" s="699">
        <f t="shared" si="13"/>
        <v>0</v>
      </c>
      <c r="N54" s="699">
        <f t="shared" si="13"/>
        <v>9</v>
      </c>
      <c r="O54" s="699">
        <f t="shared" si="13"/>
        <v>0</v>
      </c>
      <c r="P54" s="700">
        <f t="shared" si="10"/>
        <v>77</v>
      </c>
      <c r="R54" s="6"/>
    </row>
    <row r="55" spans="1:18" s="297" customFormat="1" ht="18.75" customHeight="1">
      <c r="A55" s="378" t="s">
        <v>493</v>
      </c>
      <c r="B55" s="694" t="s">
        <v>488</v>
      </c>
      <c r="C55" s="695">
        <v>0</v>
      </c>
      <c r="D55" s="695">
        <v>0</v>
      </c>
      <c r="E55" s="169">
        <f t="shared" si="6"/>
        <v>0</v>
      </c>
      <c r="F55" s="696"/>
      <c r="G55" s="696"/>
      <c r="H55" s="696"/>
      <c r="I55" s="696"/>
      <c r="J55" s="696"/>
      <c r="K55" s="696"/>
      <c r="L55" s="696"/>
      <c r="M55" s="696"/>
      <c r="N55" s="696"/>
      <c r="O55" s="696"/>
      <c r="P55" s="701">
        <f t="shared" si="10"/>
        <v>0</v>
      </c>
      <c r="R55" s="379"/>
    </row>
    <row r="56" spans="1:18" s="297" customFormat="1" ht="18.75" customHeight="1">
      <c r="A56" s="378" t="s">
        <v>493</v>
      </c>
      <c r="B56" s="694" t="s">
        <v>489</v>
      </c>
      <c r="C56" s="695">
        <v>0</v>
      </c>
      <c r="D56" s="695">
        <v>0</v>
      </c>
      <c r="E56" s="169">
        <f t="shared" si="6"/>
        <v>0</v>
      </c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701">
        <f t="shared" si="10"/>
        <v>0</v>
      </c>
      <c r="R56" s="379"/>
    </row>
    <row r="57" spans="1:18" s="297" customFormat="1" ht="18.75" customHeight="1">
      <c r="A57" s="378" t="s">
        <v>493</v>
      </c>
      <c r="B57" s="694" t="s">
        <v>490</v>
      </c>
      <c r="C57" s="695">
        <v>0</v>
      </c>
      <c r="D57" s="695">
        <v>0</v>
      </c>
      <c r="E57" s="169">
        <f t="shared" si="6"/>
        <v>0</v>
      </c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701">
        <f t="shared" si="10"/>
        <v>0</v>
      </c>
      <c r="R57" s="379"/>
    </row>
    <row r="58" spans="1:18" s="297" customFormat="1" ht="18.75" customHeight="1">
      <c r="A58" s="378" t="s">
        <v>493</v>
      </c>
      <c r="B58" s="694" t="s">
        <v>491</v>
      </c>
      <c r="C58" s="695">
        <v>0</v>
      </c>
      <c r="D58" s="695">
        <v>68</v>
      </c>
      <c r="E58" s="169">
        <f t="shared" si="6"/>
        <v>9</v>
      </c>
      <c r="F58" s="696"/>
      <c r="G58" s="696"/>
      <c r="H58" s="696"/>
      <c r="I58" s="696"/>
      <c r="J58" s="696"/>
      <c r="K58" s="696"/>
      <c r="L58" s="696"/>
      <c r="M58" s="696"/>
      <c r="N58" s="696">
        <v>9</v>
      </c>
      <c r="O58" s="696"/>
      <c r="P58" s="701">
        <f t="shared" si="10"/>
        <v>77</v>
      </c>
      <c r="R58" s="379"/>
    </row>
    <row r="59" spans="1:18" ht="18.75" customHeight="1">
      <c r="A59" s="381" t="s">
        <v>513</v>
      </c>
      <c r="B59" s="698" t="s">
        <v>1</v>
      </c>
      <c r="C59" s="146">
        <f>SUM(C60:C63)</f>
        <v>0</v>
      </c>
      <c r="D59" s="146">
        <f>SUM(D60:D63)</f>
        <v>71</v>
      </c>
      <c r="E59" s="146">
        <f t="shared" si="6"/>
        <v>36</v>
      </c>
      <c r="F59" s="699">
        <f aca="true" t="shared" si="14" ref="F59:O59">SUM(F60:F63)</f>
        <v>0</v>
      </c>
      <c r="G59" s="699">
        <f t="shared" si="14"/>
        <v>0</v>
      </c>
      <c r="H59" s="699">
        <f t="shared" si="14"/>
        <v>0</v>
      </c>
      <c r="I59" s="699">
        <f t="shared" si="14"/>
        <v>0</v>
      </c>
      <c r="J59" s="699">
        <f t="shared" si="14"/>
        <v>0</v>
      </c>
      <c r="K59" s="699">
        <f t="shared" si="14"/>
        <v>0</v>
      </c>
      <c r="L59" s="699">
        <f t="shared" si="14"/>
        <v>0</v>
      </c>
      <c r="M59" s="699">
        <f t="shared" si="14"/>
        <v>0</v>
      </c>
      <c r="N59" s="699">
        <f t="shared" si="14"/>
        <v>36</v>
      </c>
      <c r="O59" s="699">
        <f t="shared" si="14"/>
        <v>0</v>
      </c>
      <c r="P59" s="700">
        <f t="shared" si="10"/>
        <v>107</v>
      </c>
      <c r="R59" s="6"/>
    </row>
    <row r="60" spans="1:18" s="297" customFormat="1" ht="18.75" customHeight="1">
      <c r="A60" s="378" t="s">
        <v>493</v>
      </c>
      <c r="B60" s="694" t="s">
        <v>488</v>
      </c>
      <c r="C60" s="695">
        <v>0</v>
      </c>
      <c r="D60" s="695">
        <v>0</v>
      </c>
      <c r="E60" s="169">
        <f t="shared" si="6"/>
        <v>0</v>
      </c>
      <c r="F60" s="696"/>
      <c r="G60" s="696"/>
      <c r="H60" s="696"/>
      <c r="I60" s="696"/>
      <c r="J60" s="696"/>
      <c r="K60" s="696"/>
      <c r="L60" s="696"/>
      <c r="M60" s="696"/>
      <c r="N60" s="696"/>
      <c r="O60" s="696"/>
      <c r="P60" s="701">
        <f t="shared" si="10"/>
        <v>0</v>
      </c>
      <c r="R60" s="379"/>
    </row>
    <row r="61" spans="1:18" s="297" customFormat="1" ht="18.75" customHeight="1">
      <c r="A61" s="378" t="s">
        <v>493</v>
      </c>
      <c r="B61" s="694" t="s">
        <v>489</v>
      </c>
      <c r="C61" s="695">
        <v>0</v>
      </c>
      <c r="D61" s="695">
        <v>0</v>
      </c>
      <c r="E61" s="169">
        <f t="shared" si="6"/>
        <v>0</v>
      </c>
      <c r="F61" s="696"/>
      <c r="G61" s="696"/>
      <c r="H61" s="696"/>
      <c r="I61" s="696"/>
      <c r="J61" s="696"/>
      <c r="K61" s="696"/>
      <c r="L61" s="696"/>
      <c r="M61" s="696"/>
      <c r="N61" s="696"/>
      <c r="O61" s="696"/>
      <c r="P61" s="701">
        <f t="shared" si="10"/>
        <v>0</v>
      </c>
      <c r="R61" s="379"/>
    </row>
    <row r="62" spans="1:18" s="297" customFormat="1" ht="18.75" customHeight="1">
      <c r="A62" s="378" t="s">
        <v>493</v>
      </c>
      <c r="B62" s="694" t="s">
        <v>490</v>
      </c>
      <c r="C62" s="695">
        <v>0</v>
      </c>
      <c r="D62" s="695">
        <v>0</v>
      </c>
      <c r="E62" s="169">
        <f t="shared" si="6"/>
        <v>0</v>
      </c>
      <c r="F62" s="696"/>
      <c r="G62" s="696"/>
      <c r="H62" s="696"/>
      <c r="I62" s="696"/>
      <c r="J62" s="696"/>
      <c r="K62" s="696"/>
      <c r="L62" s="696"/>
      <c r="M62" s="696"/>
      <c r="N62" s="696"/>
      <c r="O62" s="696"/>
      <c r="P62" s="701">
        <f t="shared" si="10"/>
        <v>0</v>
      </c>
      <c r="R62" s="379"/>
    </row>
    <row r="63" spans="1:18" s="297" customFormat="1" ht="18.75" customHeight="1">
      <c r="A63" s="378" t="s">
        <v>493</v>
      </c>
      <c r="B63" s="694" t="s">
        <v>491</v>
      </c>
      <c r="C63" s="695">
        <v>0</v>
      </c>
      <c r="D63" s="695">
        <v>71</v>
      </c>
      <c r="E63" s="169">
        <f t="shared" si="6"/>
        <v>36</v>
      </c>
      <c r="F63" s="696"/>
      <c r="G63" s="696"/>
      <c r="H63" s="696"/>
      <c r="I63" s="696"/>
      <c r="J63" s="696"/>
      <c r="K63" s="696"/>
      <c r="L63" s="696"/>
      <c r="M63" s="696"/>
      <c r="N63" s="696">
        <v>36</v>
      </c>
      <c r="O63" s="696"/>
      <c r="P63" s="701">
        <f t="shared" si="10"/>
        <v>107</v>
      </c>
      <c r="R63" s="379"/>
    </row>
    <row r="64" spans="1:18" ht="29.25" customHeight="1">
      <c r="A64" s="381" t="s">
        <v>514</v>
      </c>
      <c r="B64" s="698" t="s">
        <v>503</v>
      </c>
      <c r="C64" s="146">
        <f>SUM(C65:C68)</f>
        <v>0</v>
      </c>
      <c r="D64" s="146">
        <f>SUM(D65:D68)</f>
        <v>168</v>
      </c>
      <c r="E64" s="146">
        <f t="shared" si="6"/>
        <v>260</v>
      </c>
      <c r="F64" s="699">
        <f aca="true" t="shared" si="15" ref="F64:O64">SUM(F65:F68)</f>
        <v>0</v>
      </c>
      <c r="G64" s="699">
        <f t="shared" si="15"/>
        <v>0</v>
      </c>
      <c r="H64" s="699">
        <f t="shared" si="15"/>
        <v>40</v>
      </c>
      <c r="I64" s="699">
        <f t="shared" si="15"/>
        <v>40</v>
      </c>
      <c r="J64" s="699">
        <f t="shared" si="15"/>
        <v>40</v>
      </c>
      <c r="K64" s="699">
        <f t="shared" si="15"/>
        <v>10</v>
      </c>
      <c r="L64" s="699">
        <f t="shared" si="15"/>
        <v>40</v>
      </c>
      <c r="M64" s="699">
        <f t="shared" si="15"/>
        <v>40</v>
      </c>
      <c r="N64" s="699">
        <f t="shared" si="15"/>
        <v>20</v>
      </c>
      <c r="O64" s="699">
        <f t="shared" si="15"/>
        <v>30</v>
      </c>
      <c r="P64" s="700">
        <f t="shared" si="10"/>
        <v>428</v>
      </c>
      <c r="R64" s="6"/>
    </row>
    <row r="65" spans="1:18" s="297" customFormat="1" ht="18.75" customHeight="1">
      <c r="A65" s="378" t="s">
        <v>493</v>
      </c>
      <c r="B65" s="694" t="s">
        <v>488</v>
      </c>
      <c r="C65" s="695">
        <v>0</v>
      </c>
      <c r="D65" s="695">
        <v>0</v>
      </c>
      <c r="E65" s="169">
        <f t="shared" si="6"/>
        <v>0</v>
      </c>
      <c r="F65" s="696"/>
      <c r="G65" s="696"/>
      <c r="H65" s="696"/>
      <c r="I65" s="696"/>
      <c r="J65" s="696"/>
      <c r="K65" s="696"/>
      <c r="L65" s="696"/>
      <c r="M65" s="696"/>
      <c r="N65" s="696"/>
      <c r="O65" s="696"/>
      <c r="P65" s="701">
        <f t="shared" si="10"/>
        <v>0</v>
      </c>
      <c r="R65" s="379"/>
    </row>
    <row r="66" spans="1:18" s="297" customFormat="1" ht="18.75" customHeight="1">
      <c r="A66" s="378" t="s">
        <v>493</v>
      </c>
      <c r="B66" s="694" t="s">
        <v>489</v>
      </c>
      <c r="C66" s="695">
        <v>0</v>
      </c>
      <c r="D66" s="695">
        <v>0</v>
      </c>
      <c r="E66" s="169">
        <f t="shared" si="6"/>
        <v>0</v>
      </c>
      <c r="F66" s="696"/>
      <c r="G66" s="696"/>
      <c r="H66" s="696"/>
      <c r="I66" s="696"/>
      <c r="J66" s="696"/>
      <c r="K66" s="696"/>
      <c r="L66" s="696"/>
      <c r="M66" s="696"/>
      <c r="N66" s="696"/>
      <c r="O66" s="696"/>
      <c r="P66" s="701">
        <f t="shared" si="10"/>
        <v>0</v>
      </c>
      <c r="R66" s="379"/>
    </row>
    <row r="67" spans="1:18" s="297" customFormat="1" ht="18.75" customHeight="1">
      <c r="A67" s="378" t="s">
        <v>493</v>
      </c>
      <c r="B67" s="694" t="s">
        <v>490</v>
      </c>
      <c r="C67" s="695">
        <v>0</v>
      </c>
      <c r="D67" s="695">
        <v>0</v>
      </c>
      <c r="E67" s="169">
        <f t="shared" si="6"/>
        <v>0</v>
      </c>
      <c r="F67" s="696"/>
      <c r="G67" s="696"/>
      <c r="H67" s="696"/>
      <c r="I67" s="696"/>
      <c r="J67" s="696"/>
      <c r="K67" s="696"/>
      <c r="L67" s="696"/>
      <c r="M67" s="696"/>
      <c r="N67" s="696"/>
      <c r="O67" s="696"/>
      <c r="P67" s="701">
        <f t="shared" si="10"/>
        <v>0</v>
      </c>
      <c r="R67" s="379"/>
    </row>
    <row r="68" spans="1:18" s="297" customFormat="1" ht="18.75" customHeight="1">
      <c r="A68" s="378" t="s">
        <v>493</v>
      </c>
      <c r="B68" s="694" t="s">
        <v>491</v>
      </c>
      <c r="C68" s="695">
        <v>0</v>
      </c>
      <c r="D68" s="695">
        <v>168</v>
      </c>
      <c r="E68" s="169">
        <f t="shared" si="6"/>
        <v>260</v>
      </c>
      <c r="F68" s="696"/>
      <c r="G68" s="696"/>
      <c r="H68" s="696">
        <v>40</v>
      </c>
      <c r="I68" s="696">
        <v>40</v>
      </c>
      <c r="J68" s="696">
        <v>40</v>
      </c>
      <c r="K68" s="696">
        <v>10</v>
      </c>
      <c r="L68" s="696">
        <v>40</v>
      </c>
      <c r="M68" s="696">
        <v>40</v>
      </c>
      <c r="N68" s="696">
        <v>20</v>
      </c>
      <c r="O68" s="696">
        <v>30</v>
      </c>
      <c r="P68" s="701">
        <f t="shared" si="10"/>
        <v>428</v>
      </c>
      <c r="R68" s="379"/>
    </row>
    <row r="69" spans="1:18" s="374" customFormat="1" ht="31.5" customHeight="1">
      <c r="A69" s="381" t="s">
        <v>515</v>
      </c>
      <c r="B69" s="698" t="s">
        <v>504</v>
      </c>
      <c r="C69" s="146">
        <f>SUM(C70:C73)</f>
        <v>0</v>
      </c>
      <c r="D69" s="146">
        <f>SUM(D70:D73)</f>
        <v>4086</v>
      </c>
      <c r="E69" s="146">
        <f t="shared" si="6"/>
        <v>1021</v>
      </c>
      <c r="F69" s="699">
        <f aca="true" t="shared" si="16" ref="F69:O69">SUM(F70:F73)</f>
        <v>0</v>
      </c>
      <c r="G69" s="699">
        <f t="shared" si="16"/>
        <v>0</v>
      </c>
      <c r="H69" s="699">
        <f t="shared" si="16"/>
        <v>0</v>
      </c>
      <c r="I69" s="699">
        <f t="shared" si="16"/>
        <v>0</v>
      </c>
      <c r="J69" s="699">
        <f t="shared" si="16"/>
        <v>0</v>
      </c>
      <c r="K69" s="699">
        <f t="shared" si="16"/>
        <v>0</v>
      </c>
      <c r="L69" s="699">
        <f t="shared" si="16"/>
        <v>0</v>
      </c>
      <c r="M69" s="699">
        <f t="shared" si="16"/>
        <v>0</v>
      </c>
      <c r="N69" s="699">
        <f t="shared" si="16"/>
        <v>0</v>
      </c>
      <c r="O69" s="699">
        <f t="shared" si="16"/>
        <v>1021</v>
      </c>
      <c r="P69" s="700">
        <f t="shared" si="10"/>
        <v>5107</v>
      </c>
      <c r="R69" s="375"/>
    </row>
    <row r="70" spans="1:18" s="297" customFormat="1" ht="18.75" customHeight="1">
      <c r="A70" s="380" t="s">
        <v>493</v>
      </c>
      <c r="B70" s="702" t="s">
        <v>488</v>
      </c>
      <c r="C70" s="169"/>
      <c r="D70" s="695"/>
      <c r="E70" s="169">
        <f t="shared" si="6"/>
        <v>0</v>
      </c>
      <c r="F70" s="696"/>
      <c r="G70" s="696"/>
      <c r="H70" s="696"/>
      <c r="I70" s="696"/>
      <c r="J70" s="696"/>
      <c r="K70" s="696"/>
      <c r="L70" s="696"/>
      <c r="M70" s="696"/>
      <c r="N70" s="696"/>
      <c r="O70" s="696"/>
      <c r="P70" s="701">
        <f t="shared" si="10"/>
        <v>0</v>
      </c>
      <c r="R70" s="379"/>
    </row>
    <row r="71" spans="1:18" s="297" customFormat="1" ht="18.75" customHeight="1">
      <c r="A71" s="378" t="s">
        <v>493</v>
      </c>
      <c r="B71" s="694" t="s">
        <v>489</v>
      </c>
      <c r="C71" s="169"/>
      <c r="D71" s="695">
        <v>4086</v>
      </c>
      <c r="E71" s="169">
        <f t="shared" si="6"/>
        <v>1021</v>
      </c>
      <c r="F71" s="696"/>
      <c r="G71" s="696"/>
      <c r="H71" s="696"/>
      <c r="I71" s="696"/>
      <c r="J71" s="696"/>
      <c r="K71" s="696"/>
      <c r="L71" s="696"/>
      <c r="M71" s="696"/>
      <c r="N71" s="696"/>
      <c r="O71" s="696">
        <v>1021</v>
      </c>
      <c r="P71" s="701">
        <f t="shared" si="10"/>
        <v>5107</v>
      </c>
      <c r="R71" s="379"/>
    </row>
    <row r="72" spans="1:18" s="297" customFormat="1" ht="18.75" customHeight="1">
      <c r="A72" s="378" t="s">
        <v>493</v>
      </c>
      <c r="B72" s="694" t="s">
        <v>490</v>
      </c>
      <c r="C72" s="169"/>
      <c r="D72" s="695"/>
      <c r="E72" s="169">
        <f t="shared" si="6"/>
        <v>0</v>
      </c>
      <c r="F72" s="696"/>
      <c r="G72" s="696"/>
      <c r="H72" s="696"/>
      <c r="I72" s="696"/>
      <c r="J72" s="696"/>
      <c r="K72" s="696"/>
      <c r="L72" s="696"/>
      <c r="M72" s="696"/>
      <c r="N72" s="696"/>
      <c r="O72" s="696"/>
      <c r="P72" s="701">
        <f t="shared" si="10"/>
        <v>0</v>
      </c>
      <c r="R72" s="379"/>
    </row>
    <row r="73" spans="1:18" s="297" customFormat="1" ht="18.75" customHeight="1" thickBot="1">
      <c r="A73" s="378" t="s">
        <v>493</v>
      </c>
      <c r="B73" s="694" t="s">
        <v>491</v>
      </c>
      <c r="C73" s="169"/>
      <c r="D73" s="695"/>
      <c r="E73" s="169">
        <f t="shared" si="6"/>
        <v>0</v>
      </c>
      <c r="F73" s="696"/>
      <c r="G73" s="696"/>
      <c r="H73" s="696"/>
      <c r="I73" s="696"/>
      <c r="J73" s="696"/>
      <c r="K73" s="696"/>
      <c r="L73" s="696"/>
      <c r="M73" s="696"/>
      <c r="N73" s="696"/>
      <c r="O73" s="696"/>
      <c r="P73" s="701">
        <f t="shared" si="10"/>
        <v>0</v>
      </c>
      <c r="R73" s="379"/>
    </row>
    <row r="74" spans="1:16" ht="26.25" customHeight="1">
      <c r="A74" s="382"/>
      <c r="B74" s="703" t="s">
        <v>487</v>
      </c>
      <c r="C74" s="704">
        <f aca="true" t="shared" si="17" ref="C74:O74">SUM(C75:C78)</f>
        <v>506</v>
      </c>
      <c r="D74" s="705">
        <f t="shared" si="17"/>
        <v>18025</v>
      </c>
      <c r="E74" s="704">
        <f t="shared" si="17"/>
        <v>15862</v>
      </c>
      <c r="F74" s="706">
        <f>SUM(F75:F78)</f>
        <v>4574</v>
      </c>
      <c r="G74" s="706">
        <f t="shared" si="17"/>
        <v>278</v>
      </c>
      <c r="H74" s="706">
        <f t="shared" si="17"/>
        <v>2508</v>
      </c>
      <c r="I74" s="706">
        <f t="shared" si="17"/>
        <v>1116</v>
      </c>
      <c r="J74" s="706">
        <f t="shared" si="17"/>
        <v>369</v>
      </c>
      <c r="K74" s="706">
        <f t="shared" si="17"/>
        <v>316</v>
      </c>
      <c r="L74" s="706">
        <f t="shared" si="17"/>
        <v>1059</v>
      </c>
      <c r="M74" s="706">
        <f t="shared" si="17"/>
        <v>652</v>
      </c>
      <c r="N74" s="706">
        <f t="shared" si="17"/>
        <v>1106</v>
      </c>
      <c r="O74" s="707">
        <f t="shared" si="17"/>
        <v>3884</v>
      </c>
      <c r="P74" s="708">
        <f>SUM(P75:P78)</f>
        <v>34393</v>
      </c>
    </row>
    <row r="75" spans="1:16" ht="15.75">
      <c r="A75" s="384"/>
      <c r="B75" s="709" t="s">
        <v>488</v>
      </c>
      <c r="C75" s="710">
        <f aca="true" t="shared" si="18" ref="C75:D78">C70+C65+C60+C55+C50+C45+C40+C35+C30+C25+C20+C15+C10</f>
        <v>0</v>
      </c>
      <c r="D75" s="710">
        <f t="shared" si="18"/>
        <v>0</v>
      </c>
      <c r="E75" s="710">
        <f aca="true" t="shared" si="19" ref="E75:P75">E70+E65+E60+E55+E50+E45+E40+E35+E30+E25+E20+E15+E10</f>
        <v>5920</v>
      </c>
      <c r="F75" s="711">
        <f>F70+F65+F60+F55+F50+F45+F40+F35+F30+F25+F20+F15+F10</f>
        <v>4528</v>
      </c>
      <c r="G75" s="711">
        <f t="shared" si="19"/>
        <v>0</v>
      </c>
      <c r="H75" s="711">
        <f t="shared" si="19"/>
        <v>696</v>
      </c>
      <c r="I75" s="711">
        <f t="shared" si="19"/>
        <v>0</v>
      </c>
      <c r="J75" s="711">
        <f t="shared" si="19"/>
        <v>0</v>
      </c>
      <c r="K75" s="711">
        <f t="shared" si="19"/>
        <v>0</v>
      </c>
      <c r="L75" s="711">
        <f t="shared" si="19"/>
        <v>0</v>
      </c>
      <c r="M75" s="711">
        <f t="shared" si="19"/>
        <v>0</v>
      </c>
      <c r="N75" s="711">
        <f t="shared" si="19"/>
        <v>0</v>
      </c>
      <c r="O75" s="712">
        <f t="shared" si="19"/>
        <v>696</v>
      </c>
      <c r="P75" s="713">
        <f t="shared" si="19"/>
        <v>5920</v>
      </c>
    </row>
    <row r="76" spans="1:16" ht="15.75">
      <c r="A76" s="384"/>
      <c r="B76" s="709" t="s">
        <v>489</v>
      </c>
      <c r="C76" s="710">
        <f t="shared" si="18"/>
        <v>0</v>
      </c>
      <c r="D76" s="710">
        <f t="shared" si="18"/>
        <v>5777</v>
      </c>
      <c r="E76" s="710">
        <f aca="true" t="shared" si="20" ref="E76:P76">E71+E66+E61+E56+E51+E46+E41+E36+E31+E26+E21+E16+E11</f>
        <v>2081</v>
      </c>
      <c r="F76" s="711">
        <f t="shared" si="20"/>
        <v>0</v>
      </c>
      <c r="G76" s="711">
        <f t="shared" si="20"/>
        <v>0</v>
      </c>
      <c r="H76" s="711">
        <f t="shared" si="20"/>
        <v>212</v>
      </c>
      <c r="I76" s="711">
        <f t="shared" si="20"/>
        <v>141</v>
      </c>
      <c r="J76" s="711">
        <f t="shared" si="20"/>
        <v>71</v>
      </c>
      <c r="K76" s="711">
        <f t="shared" si="20"/>
        <v>71</v>
      </c>
      <c r="L76" s="711">
        <f t="shared" si="20"/>
        <v>141</v>
      </c>
      <c r="M76" s="711">
        <f t="shared" si="20"/>
        <v>71</v>
      </c>
      <c r="N76" s="711">
        <f t="shared" si="20"/>
        <v>71</v>
      </c>
      <c r="O76" s="712">
        <f t="shared" si="20"/>
        <v>1303</v>
      </c>
      <c r="P76" s="713">
        <f t="shared" si="20"/>
        <v>7858</v>
      </c>
    </row>
    <row r="77" spans="1:16" ht="20.25" customHeight="1">
      <c r="A77" s="385"/>
      <c r="B77" s="386" t="s">
        <v>490</v>
      </c>
      <c r="C77" s="710">
        <f t="shared" si="18"/>
        <v>0</v>
      </c>
      <c r="D77" s="710">
        <f t="shared" si="18"/>
        <v>10801</v>
      </c>
      <c r="E77" s="710">
        <f aca="true" t="shared" si="21" ref="E77:P77">E72+E67+E62+E57+E52+E47+E42+E37+E32+E27+E22+E17+E12</f>
        <v>5652</v>
      </c>
      <c r="F77" s="711">
        <f t="shared" si="21"/>
        <v>0</v>
      </c>
      <c r="G77" s="711">
        <f t="shared" si="21"/>
        <v>0</v>
      </c>
      <c r="H77" s="711">
        <f t="shared" si="21"/>
        <v>1203</v>
      </c>
      <c r="I77" s="711">
        <f t="shared" si="21"/>
        <v>708</v>
      </c>
      <c r="J77" s="711">
        <f t="shared" si="21"/>
        <v>212</v>
      </c>
      <c r="K77" s="711">
        <f t="shared" si="21"/>
        <v>212</v>
      </c>
      <c r="L77" s="711">
        <f t="shared" si="21"/>
        <v>708</v>
      </c>
      <c r="M77" s="711">
        <f t="shared" si="21"/>
        <v>495</v>
      </c>
      <c r="N77" s="711">
        <f t="shared" si="21"/>
        <v>699</v>
      </c>
      <c r="O77" s="712">
        <f t="shared" si="21"/>
        <v>1415</v>
      </c>
      <c r="P77" s="713">
        <f t="shared" si="21"/>
        <v>16453</v>
      </c>
    </row>
    <row r="78" spans="1:16" ht="16.5" thickBot="1">
      <c r="A78" s="387"/>
      <c r="B78" s="714" t="s">
        <v>491</v>
      </c>
      <c r="C78" s="715">
        <f t="shared" si="18"/>
        <v>506</v>
      </c>
      <c r="D78" s="715">
        <f t="shared" si="18"/>
        <v>1447</v>
      </c>
      <c r="E78" s="715">
        <f aca="true" t="shared" si="22" ref="E78:P78">E73+E68+E63+E58+E53+E48+E43+E38+E33+E28+E23+E18+E13</f>
        <v>2209</v>
      </c>
      <c r="F78" s="716">
        <f t="shared" si="22"/>
        <v>46</v>
      </c>
      <c r="G78" s="716">
        <f t="shared" si="22"/>
        <v>278</v>
      </c>
      <c r="H78" s="716">
        <f t="shared" si="22"/>
        <v>397</v>
      </c>
      <c r="I78" s="716">
        <f t="shared" si="22"/>
        <v>267</v>
      </c>
      <c r="J78" s="716">
        <f t="shared" si="22"/>
        <v>86</v>
      </c>
      <c r="K78" s="716">
        <f t="shared" si="22"/>
        <v>33</v>
      </c>
      <c r="L78" s="716">
        <f t="shared" si="22"/>
        <v>210</v>
      </c>
      <c r="M78" s="716">
        <f t="shared" si="22"/>
        <v>86</v>
      </c>
      <c r="N78" s="716">
        <f t="shared" si="22"/>
        <v>336</v>
      </c>
      <c r="O78" s="717">
        <f t="shared" si="22"/>
        <v>470</v>
      </c>
      <c r="P78" s="718">
        <f t="shared" si="22"/>
        <v>4162</v>
      </c>
    </row>
    <row r="81" spans="3:19" ht="12.75">
      <c r="C81" s="343"/>
      <c r="D81" s="343"/>
      <c r="E81" s="343"/>
      <c r="P81" s="388"/>
      <c r="S81" s="343"/>
    </row>
    <row r="82" spans="3:19" ht="12.75">
      <c r="C82" s="343"/>
      <c r="D82" s="343"/>
      <c r="E82" s="343"/>
      <c r="P82" s="388"/>
      <c r="S82" s="343"/>
    </row>
    <row r="83" spans="3:19" ht="12.75">
      <c r="C83" s="343"/>
      <c r="D83" s="343"/>
      <c r="E83" s="343"/>
      <c r="P83" s="388"/>
      <c r="S83" s="343"/>
    </row>
    <row r="84" spans="3:19" ht="12.75">
      <c r="C84" s="343"/>
      <c r="D84" s="343"/>
      <c r="E84" s="343"/>
      <c r="P84" s="388"/>
      <c r="S84" s="343"/>
    </row>
    <row r="85" spans="2:19" ht="12.75">
      <c r="B85" s="374"/>
      <c r="C85" s="389"/>
      <c r="D85" s="390"/>
      <c r="E85" s="390"/>
      <c r="F85" s="391"/>
      <c r="G85" s="391"/>
      <c r="H85" s="391"/>
      <c r="I85" s="391"/>
      <c r="J85" s="391"/>
      <c r="K85" s="391"/>
      <c r="L85" s="391"/>
      <c r="M85" s="391"/>
      <c r="N85" s="391"/>
      <c r="O85" s="391"/>
      <c r="P85" s="390"/>
      <c r="R85" s="388"/>
      <c r="S85" s="388"/>
    </row>
  </sheetData>
  <sheetProtection/>
  <mergeCells count="9">
    <mergeCell ref="A7:A8"/>
    <mergeCell ref="P7:P8"/>
    <mergeCell ref="B3:P3"/>
    <mergeCell ref="B5:P5"/>
    <mergeCell ref="B7:B8"/>
    <mergeCell ref="C7:C8"/>
    <mergeCell ref="D7:D8"/>
    <mergeCell ref="E7:E8"/>
    <mergeCell ref="F7:O7"/>
  </mergeCells>
  <printOptions/>
  <pageMargins left="0.7" right="0.7" top="0.75" bottom="0.75" header="0.3" footer="0.3"/>
  <pageSetup horizontalDpi="600" verticalDpi="600" orientation="landscape" paperSize="9" scale="61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W81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11" sqref="N11"/>
    </sheetView>
  </sheetViews>
  <sheetFormatPr defaultColWidth="9.140625" defaultRowHeight="12.75"/>
  <cols>
    <col min="1" max="1" width="7.421875" style="70" customWidth="1"/>
    <col min="2" max="2" width="65.8515625" style="79" customWidth="1"/>
    <col min="3" max="3" width="10.28125" style="10" customWidth="1"/>
    <col min="4" max="4" width="12.7109375" style="70" customWidth="1"/>
    <col min="5" max="5" width="17.7109375" style="70" customWidth="1"/>
    <col min="6" max="6" width="12.57421875" style="71" customWidth="1"/>
    <col min="7" max="7" width="13.57421875" style="70" customWidth="1"/>
    <col min="8" max="8" width="11.57421875" style="70" customWidth="1"/>
    <col min="9" max="10" width="10.00390625" style="70" customWidth="1"/>
    <col min="11" max="11" width="12.00390625" style="70" customWidth="1"/>
    <col min="12" max="13" width="12.00390625" style="70" bestFit="1" customWidth="1"/>
    <col min="14" max="14" width="12.421875" style="70" customWidth="1"/>
    <col min="15" max="15" width="11.140625" style="70" bestFit="1" customWidth="1"/>
    <col min="16" max="16" width="9.140625" style="70" customWidth="1"/>
    <col min="17" max="17" width="10.00390625" style="70" bestFit="1" customWidth="1"/>
    <col min="18" max="16384" width="9.140625" style="70" customWidth="1"/>
  </cols>
  <sheetData>
    <row r="1" spans="8:11" ht="15.75">
      <c r="H1" s="910" t="s">
        <v>361</v>
      </c>
      <c r="I1" s="910"/>
      <c r="J1" s="910"/>
      <c r="K1" s="910"/>
    </row>
    <row r="3" spans="1:11" ht="29.25" customHeight="1">
      <c r="A3" s="888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2024 ГОДУ                                                                                          </v>
      </c>
      <c r="B3" s="888"/>
      <c r="C3" s="888"/>
      <c r="D3" s="888"/>
      <c r="E3" s="888"/>
      <c r="F3" s="888"/>
      <c r="G3" s="888"/>
      <c r="H3" s="888"/>
      <c r="I3" s="888"/>
      <c r="J3" s="888"/>
      <c r="K3" s="888"/>
    </row>
    <row r="4" spans="1:11" ht="27" customHeight="1">
      <c r="A4" s="909" t="s">
        <v>362</v>
      </c>
      <c r="B4" s="909"/>
      <c r="C4" s="909"/>
      <c r="D4" s="909"/>
      <c r="E4" s="909"/>
      <c r="F4" s="909"/>
      <c r="G4" s="909"/>
      <c r="H4" s="909"/>
      <c r="I4" s="909"/>
      <c r="J4" s="909"/>
      <c r="K4" s="909"/>
    </row>
    <row r="5" ht="10.5" customHeight="1"/>
    <row r="6" spans="1:11" ht="53.25" customHeight="1">
      <c r="A6" s="719"/>
      <c r="B6" s="720" t="s">
        <v>96</v>
      </c>
      <c r="C6" s="721" t="s">
        <v>59</v>
      </c>
      <c r="D6" s="722" t="s">
        <v>39</v>
      </c>
      <c r="E6" s="722" t="s">
        <v>445</v>
      </c>
      <c r="F6" s="722" t="s">
        <v>207</v>
      </c>
      <c r="G6" s="722" t="s">
        <v>103</v>
      </c>
      <c r="H6" s="722" t="s">
        <v>302</v>
      </c>
      <c r="I6" s="722" t="s">
        <v>223</v>
      </c>
      <c r="J6" s="722" t="s">
        <v>366</v>
      </c>
      <c r="K6" s="722" t="s">
        <v>187</v>
      </c>
    </row>
    <row r="7" spans="1:11" ht="12.75" customHeight="1">
      <c r="A7" s="719">
        <v>1</v>
      </c>
      <c r="B7" s="723">
        <v>2</v>
      </c>
      <c r="C7" s="724">
        <v>3</v>
      </c>
      <c r="D7" s="722">
        <v>4</v>
      </c>
      <c r="E7" s="722">
        <v>5</v>
      </c>
      <c r="F7" s="722">
        <v>6</v>
      </c>
      <c r="G7" s="724">
        <v>7</v>
      </c>
      <c r="H7" s="724">
        <v>8</v>
      </c>
      <c r="I7" s="724">
        <v>9</v>
      </c>
      <c r="J7" s="724">
        <v>10</v>
      </c>
      <c r="K7" s="724">
        <v>11</v>
      </c>
    </row>
    <row r="8" spans="1:16" s="729" customFormat="1" ht="18" customHeight="1">
      <c r="A8" s="731">
        <v>1</v>
      </c>
      <c r="B8" s="726" t="s">
        <v>190</v>
      </c>
      <c r="C8" s="735">
        <f aca="true" t="shared" si="0" ref="C8:C30">SUM(D8:K8)</f>
        <v>6631</v>
      </c>
      <c r="D8" s="728">
        <f aca="true" t="shared" si="1" ref="D8:K8">SUM(D9:D10)</f>
        <v>5275</v>
      </c>
      <c r="E8" s="728">
        <f t="shared" si="1"/>
        <v>1356</v>
      </c>
      <c r="F8" s="728">
        <f t="shared" si="1"/>
        <v>0</v>
      </c>
      <c r="G8" s="728">
        <f t="shared" si="1"/>
        <v>0</v>
      </c>
      <c r="H8" s="728">
        <f t="shared" si="1"/>
        <v>0</v>
      </c>
      <c r="I8" s="728">
        <f t="shared" si="1"/>
        <v>0</v>
      </c>
      <c r="J8" s="728">
        <f t="shared" si="1"/>
        <v>0</v>
      </c>
      <c r="K8" s="728">
        <f t="shared" si="1"/>
        <v>0</v>
      </c>
      <c r="M8" s="742"/>
      <c r="N8" s="742"/>
      <c r="P8" s="730"/>
    </row>
    <row r="9" spans="1:16" ht="15" customHeight="1">
      <c r="A9" s="73" t="s">
        <v>77</v>
      </c>
      <c r="B9" s="80" t="s">
        <v>78</v>
      </c>
      <c r="C9" s="301">
        <f t="shared" si="0"/>
        <v>4361</v>
      </c>
      <c r="D9" s="75">
        <v>3006</v>
      </c>
      <c r="E9" s="75">
        <v>1355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M9" s="219"/>
      <c r="N9" s="219"/>
      <c r="P9" s="86"/>
    </row>
    <row r="10" spans="1:16" ht="15" customHeight="1">
      <c r="A10" s="73" t="s">
        <v>79</v>
      </c>
      <c r="B10" s="81" t="s">
        <v>80</v>
      </c>
      <c r="C10" s="301">
        <f t="shared" si="0"/>
        <v>2270</v>
      </c>
      <c r="D10" s="75">
        <v>2269</v>
      </c>
      <c r="E10" s="75">
        <v>1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M10" s="219"/>
      <c r="N10" s="219"/>
      <c r="P10" s="86"/>
    </row>
    <row r="11" spans="1:16" s="74" customFormat="1" ht="15" customHeight="1">
      <c r="A11" s="73" t="s">
        <v>81</v>
      </c>
      <c r="B11" s="81" t="s">
        <v>82</v>
      </c>
      <c r="C11" s="301">
        <f t="shared" si="0"/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P11" s="86"/>
    </row>
    <row r="12" spans="1:23" s="738" customFormat="1" ht="18.75" customHeight="1">
      <c r="A12" s="725">
        <v>2</v>
      </c>
      <c r="B12" s="744" t="s">
        <v>191</v>
      </c>
      <c r="C12" s="735">
        <f t="shared" si="0"/>
        <v>2389</v>
      </c>
      <c r="D12" s="728">
        <f>SUM(D13:D15)</f>
        <v>2389</v>
      </c>
      <c r="E12" s="728">
        <f aca="true" t="shared" si="2" ref="E12:J12">SUM(E13:E15)</f>
        <v>0</v>
      </c>
      <c r="F12" s="728">
        <f t="shared" si="2"/>
        <v>0</v>
      </c>
      <c r="G12" s="728">
        <f t="shared" si="2"/>
        <v>0</v>
      </c>
      <c r="H12" s="728">
        <f t="shared" si="2"/>
        <v>0</v>
      </c>
      <c r="I12" s="728">
        <f t="shared" si="2"/>
        <v>0</v>
      </c>
      <c r="J12" s="728">
        <f t="shared" si="2"/>
        <v>0</v>
      </c>
      <c r="K12" s="728">
        <f>SUM(K13:K15)</f>
        <v>0</v>
      </c>
      <c r="M12" s="742"/>
      <c r="N12" s="742"/>
      <c r="O12" s="746"/>
      <c r="P12" s="747"/>
      <c r="Q12" s="739"/>
      <c r="R12" s="739"/>
      <c r="S12" s="739"/>
      <c r="T12" s="739"/>
      <c r="U12" s="742"/>
      <c r="V12" s="742"/>
      <c r="W12" s="742"/>
    </row>
    <row r="13" spans="1:23" s="74" customFormat="1" ht="15.75" customHeight="1">
      <c r="A13" s="73" t="s">
        <v>83</v>
      </c>
      <c r="B13" s="81" t="s">
        <v>78</v>
      </c>
      <c r="C13" s="301">
        <f t="shared" si="0"/>
        <v>1381</v>
      </c>
      <c r="D13" s="75">
        <v>1381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M13" s="219"/>
      <c r="N13" s="219"/>
      <c r="O13" s="320"/>
      <c r="P13" s="321"/>
      <c r="Q13" s="220"/>
      <c r="R13" s="220"/>
      <c r="S13" s="220"/>
      <c r="T13" s="220"/>
      <c r="U13" s="220"/>
      <c r="W13" s="219"/>
    </row>
    <row r="14" spans="1:23" ht="15.75" customHeight="1">
      <c r="A14" s="73" t="s">
        <v>84</v>
      </c>
      <c r="B14" s="81" t="s">
        <v>80</v>
      </c>
      <c r="C14" s="301">
        <f t="shared" si="0"/>
        <v>1008</v>
      </c>
      <c r="D14" s="75">
        <v>1008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M14" s="219"/>
      <c r="N14" s="219"/>
      <c r="O14" s="322"/>
      <c r="P14" s="321"/>
      <c r="Q14" s="221"/>
      <c r="R14" s="221"/>
      <c r="S14" s="221"/>
      <c r="T14" s="221"/>
      <c r="U14" s="220"/>
      <c r="W14" s="219"/>
    </row>
    <row r="15" spans="1:16" s="74" customFormat="1" ht="15.75" customHeight="1">
      <c r="A15" s="73" t="s">
        <v>85</v>
      </c>
      <c r="B15" s="81" t="s">
        <v>82</v>
      </c>
      <c r="C15" s="301">
        <f t="shared" si="0"/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O15" s="320"/>
      <c r="P15" s="321"/>
    </row>
    <row r="16" spans="1:16" s="738" customFormat="1" ht="19.5" customHeight="1">
      <c r="A16" s="734">
        <v>3</v>
      </c>
      <c r="B16" s="744" t="s">
        <v>385</v>
      </c>
      <c r="C16" s="735">
        <f t="shared" si="0"/>
        <v>12469</v>
      </c>
      <c r="D16" s="728">
        <f aca="true" t="shared" si="3" ref="D16:K16">SUM(D17:D20)</f>
        <v>4578</v>
      </c>
      <c r="E16" s="728">
        <f t="shared" si="3"/>
        <v>4427</v>
      </c>
      <c r="F16" s="728">
        <f t="shared" si="3"/>
        <v>3464</v>
      </c>
      <c r="G16" s="728">
        <f t="shared" si="3"/>
        <v>0</v>
      </c>
      <c r="H16" s="728">
        <f t="shared" si="3"/>
        <v>0</v>
      </c>
      <c r="I16" s="728">
        <f t="shared" si="3"/>
        <v>0</v>
      </c>
      <c r="J16" s="728">
        <f t="shared" si="3"/>
        <v>0</v>
      </c>
      <c r="K16" s="728">
        <f t="shared" si="3"/>
        <v>0</v>
      </c>
      <c r="M16" s="745"/>
      <c r="N16" s="745"/>
      <c r="O16" s="745"/>
      <c r="P16" s="745"/>
    </row>
    <row r="17" spans="1:16" s="74" customFormat="1" ht="14.25" customHeight="1">
      <c r="A17" s="274" t="s">
        <v>86</v>
      </c>
      <c r="B17" s="82" t="s">
        <v>155</v>
      </c>
      <c r="C17" s="301">
        <f t="shared" si="0"/>
        <v>6538</v>
      </c>
      <c r="D17" s="7">
        <v>3064</v>
      </c>
      <c r="E17" s="75">
        <v>2010</v>
      </c>
      <c r="F17" s="9">
        <v>1464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M17" s="219"/>
      <c r="N17" s="219"/>
      <c r="O17" s="219"/>
      <c r="P17" s="86"/>
    </row>
    <row r="18" spans="1:16" ht="14.25" customHeight="1">
      <c r="A18" s="274" t="s">
        <v>87</v>
      </c>
      <c r="B18" s="82" t="s">
        <v>138</v>
      </c>
      <c r="C18" s="301">
        <f t="shared" si="0"/>
        <v>544</v>
      </c>
      <c r="D18" s="7">
        <v>536</v>
      </c>
      <c r="E18" s="75">
        <v>0</v>
      </c>
      <c r="F18" s="9">
        <v>8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M18" s="219"/>
      <c r="N18" s="219"/>
      <c r="O18" s="219"/>
      <c r="P18" s="86"/>
    </row>
    <row r="19" spans="1:16" ht="14.25" customHeight="1">
      <c r="A19" s="274" t="s">
        <v>88</v>
      </c>
      <c r="B19" s="82" t="s">
        <v>139</v>
      </c>
      <c r="C19" s="301">
        <f t="shared" si="0"/>
        <v>5387</v>
      </c>
      <c r="D19" s="7">
        <v>978</v>
      </c>
      <c r="E19" s="7">
        <v>2417</v>
      </c>
      <c r="F19" s="9">
        <v>1992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M19" s="219"/>
      <c r="N19" s="219"/>
      <c r="O19" s="219"/>
      <c r="P19" s="86"/>
    </row>
    <row r="20" spans="1:16" ht="14.25" customHeight="1">
      <c r="A20" s="72" t="s">
        <v>89</v>
      </c>
      <c r="B20" s="82" t="s">
        <v>82</v>
      </c>
      <c r="C20" s="301">
        <f t="shared" si="0"/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P20" s="86"/>
    </row>
    <row r="21" spans="1:16" s="729" customFormat="1" ht="19.5" customHeight="1">
      <c r="A21" s="725">
        <v>4</v>
      </c>
      <c r="B21" s="726" t="s">
        <v>189</v>
      </c>
      <c r="C21" s="735">
        <f t="shared" si="0"/>
        <v>4063</v>
      </c>
      <c r="D21" s="728">
        <f>SUM(D22:D29)</f>
        <v>3828</v>
      </c>
      <c r="E21" s="728">
        <f>SUM(E22:E29)</f>
        <v>71</v>
      </c>
      <c r="F21" s="728">
        <f>SUM(F22:F29)</f>
        <v>164</v>
      </c>
      <c r="G21" s="728">
        <v>0</v>
      </c>
      <c r="H21" s="728">
        <v>0</v>
      </c>
      <c r="I21" s="728">
        <v>0</v>
      </c>
      <c r="J21" s="728">
        <v>0</v>
      </c>
      <c r="K21" s="728">
        <v>0</v>
      </c>
      <c r="M21" s="743"/>
      <c r="N21" s="743"/>
      <c r="P21" s="730"/>
    </row>
    <row r="22" spans="1:16" s="90" customFormat="1" ht="15.75">
      <c r="A22" s="87" t="s">
        <v>147</v>
      </c>
      <c r="B22" s="88" t="s">
        <v>140</v>
      </c>
      <c r="C22" s="301">
        <f t="shared" si="0"/>
        <v>291</v>
      </c>
      <c r="D22" s="9">
        <v>291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M22" s="219"/>
      <c r="N22" s="219"/>
      <c r="P22" s="86"/>
    </row>
    <row r="23" spans="1:16" s="90" customFormat="1" ht="15.75">
      <c r="A23" s="87" t="s">
        <v>148</v>
      </c>
      <c r="B23" s="88" t="s">
        <v>141</v>
      </c>
      <c r="C23" s="301">
        <f t="shared" si="0"/>
        <v>2943</v>
      </c>
      <c r="D23" s="9">
        <v>2708</v>
      </c>
      <c r="E23" s="9">
        <v>71</v>
      </c>
      <c r="F23" s="9">
        <v>164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M23" s="219"/>
      <c r="N23" s="219"/>
      <c r="P23" s="86"/>
    </row>
    <row r="24" spans="1:16" s="90" customFormat="1" ht="15.75">
      <c r="A24" s="87" t="s">
        <v>149</v>
      </c>
      <c r="B24" s="88" t="s">
        <v>142</v>
      </c>
      <c r="C24" s="301">
        <f t="shared" si="0"/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M24" s="219"/>
      <c r="N24" s="219"/>
      <c r="P24" s="86"/>
    </row>
    <row r="25" spans="1:16" s="90" customFormat="1" ht="15.75">
      <c r="A25" s="87" t="s">
        <v>150</v>
      </c>
      <c r="B25" s="88" t="s">
        <v>143</v>
      </c>
      <c r="C25" s="301">
        <f t="shared" si="0"/>
        <v>800</v>
      </c>
      <c r="D25" s="9">
        <v>800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351"/>
      <c r="M25" s="352"/>
      <c r="N25" s="352"/>
      <c r="P25" s="86"/>
    </row>
    <row r="26" spans="1:16" s="90" customFormat="1" ht="15.75">
      <c r="A26" s="87" t="s">
        <v>151</v>
      </c>
      <c r="B26" s="88" t="s">
        <v>144</v>
      </c>
      <c r="C26" s="301">
        <f t="shared" si="0"/>
        <v>4</v>
      </c>
      <c r="D26" s="9">
        <v>4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M26" s="219"/>
      <c r="N26" s="219"/>
      <c r="P26" s="86"/>
    </row>
    <row r="27" spans="1:16" s="90" customFormat="1" ht="15.75">
      <c r="A27" s="87" t="s">
        <v>152</v>
      </c>
      <c r="B27" s="88" t="s">
        <v>145</v>
      </c>
      <c r="C27" s="301">
        <f t="shared" si="0"/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M27" s="219"/>
      <c r="N27" s="219"/>
      <c r="P27" s="86"/>
    </row>
    <row r="28" spans="1:16" s="90" customFormat="1" ht="15.75">
      <c r="A28" s="87" t="s">
        <v>153</v>
      </c>
      <c r="B28" s="88" t="s">
        <v>146</v>
      </c>
      <c r="C28" s="301">
        <f t="shared" si="0"/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M28" s="219"/>
      <c r="N28" s="219"/>
      <c r="P28" s="86"/>
    </row>
    <row r="29" spans="1:16" s="90" customFormat="1" ht="15.75">
      <c r="A29" s="87" t="s">
        <v>154</v>
      </c>
      <c r="B29" s="88" t="s">
        <v>82</v>
      </c>
      <c r="C29" s="301">
        <f t="shared" si="0"/>
        <v>25</v>
      </c>
      <c r="D29" s="9">
        <v>25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M29" s="219"/>
      <c r="N29" s="219"/>
      <c r="P29" s="86"/>
    </row>
    <row r="30" spans="1:16" s="729" customFormat="1" ht="26.25" customHeight="1">
      <c r="A30" s="725">
        <v>5</v>
      </c>
      <c r="B30" s="726" t="s">
        <v>388</v>
      </c>
      <c r="C30" s="735">
        <f t="shared" si="0"/>
        <v>165</v>
      </c>
      <c r="D30" s="728">
        <f aca="true" t="shared" si="4" ref="D30:I30">SUM(D31:D41)</f>
        <v>0</v>
      </c>
      <c r="E30" s="728">
        <f t="shared" si="4"/>
        <v>0</v>
      </c>
      <c r="F30" s="728">
        <f t="shared" si="4"/>
        <v>0</v>
      </c>
      <c r="G30" s="728">
        <f t="shared" si="4"/>
        <v>0</v>
      </c>
      <c r="H30" s="728">
        <f t="shared" si="4"/>
        <v>0</v>
      </c>
      <c r="I30" s="728">
        <f t="shared" si="4"/>
        <v>0</v>
      </c>
      <c r="J30" s="728">
        <f>SUM(J31:J41)</f>
        <v>63</v>
      </c>
      <c r="K30" s="728">
        <f>SUM(K31:K41)</f>
        <v>102</v>
      </c>
      <c r="N30" s="730"/>
      <c r="P30" s="730"/>
    </row>
    <row r="31" spans="1:16" ht="15.75" customHeight="1">
      <c r="A31" s="77" t="s">
        <v>90</v>
      </c>
      <c r="B31" s="81" t="s">
        <v>370</v>
      </c>
      <c r="C31" s="76">
        <v>41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13</v>
      </c>
      <c r="K31" s="363">
        <f aca="true" t="shared" si="5" ref="K31:K41">C31-J31</f>
        <v>28</v>
      </c>
      <c r="M31" s="272"/>
      <c r="N31" s="221"/>
      <c r="P31" s="86"/>
    </row>
    <row r="32" spans="1:16" ht="15.75" customHeight="1">
      <c r="A32" s="77" t="s">
        <v>91</v>
      </c>
      <c r="B32" s="81" t="s">
        <v>371</v>
      </c>
      <c r="C32" s="76">
        <v>14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4</v>
      </c>
      <c r="K32" s="363">
        <f t="shared" si="5"/>
        <v>10</v>
      </c>
      <c r="M32" s="272"/>
      <c r="N32" s="221"/>
      <c r="P32" s="86"/>
    </row>
    <row r="33" spans="1:16" s="74" customFormat="1" ht="15.75" customHeight="1">
      <c r="A33" s="77" t="s">
        <v>92</v>
      </c>
      <c r="B33" s="81" t="s">
        <v>372</v>
      </c>
      <c r="C33" s="76">
        <v>14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9</v>
      </c>
      <c r="K33" s="364">
        <f t="shared" si="5"/>
        <v>5</v>
      </c>
      <c r="M33" s="219"/>
      <c r="N33" s="221"/>
      <c r="P33" s="86"/>
    </row>
    <row r="34" spans="1:16" s="74" customFormat="1" ht="15.75" customHeight="1">
      <c r="A34" s="77" t="s">
        <v>93</v>
      </c>
      <c r="B34" s="81" t="s">
        <v>373</v>
      </c>
      <c r="C34" s="76">
        <v>25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9</v>
      </c>
      <c r="K34" s="363">
        <f t="shared" si="5"/>
        <v>16</v>
      </c>
      <c r="M34" s="219"/>
      <c r="N34" s="221"/>
      <c r="P34" s="86"/>
    </row>
    <row r="35" spans="1:16" s="74" customFormat="1" ht="15.75" customHeight="1">
      <c r="A35" s="77" t="s">
        <v>94</v>
      </c>
      <c r="B35" s="81" t="s">
        <v>374</v>
      </c>
      <c r="C35" s="76">
        <v>17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16</v>
      </c>
      <c r="K35" s="363">
        <f t="shared" si="5"/>
        <v>1</v>
      </c>
      <c r="N35" s="221"/>
      <c r="P35" s="86"/>
    </row>
    <row r="36" spans="1:16" s="74" customFormat="1" ht="25.5" customHeight="1">
      <c r="A36" s="77" t="s">
        <v>95</v>
      </c>
      <c r="B36" s="80" t="s">
        <v>375</v>
      </c>
      <c r="C36" s="76">
        <v>23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1</v>
      </c>
      <c r="K36" s="363">
        <f t="shared" si="5"/>
        <v>22</v>
      </c>
      <c r="M36" s="220"/>
      <c r="N36" s="221"/>
      <c r="P36" s="86"/>
    </row>
    <row r="37" spans="1:16" s="74" customFormat="1" ht="25.5" customHeight="1">
      <c r="A37" s="77" t="s">
        <v>367</v>
      </c>
      <c r="B37" s="80" t="s">
        <v>376</v>
      </c>
      <c r="C37" s="76">
        <v>12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363">
        <f t="shared" si="5"/>
        <v>12</v>
      </c>
      <c r="N37" s="221"/>
      <c r="P37" s="86"/>
    </row>
    <row r="38" spans="1:16" s="74" customFormat="1" ht="15.75" customHeight="1">
      <c r="A38" s="77" t="s">
        <v>368</v>
      </c>
      <c r="B38" s="80" t="s">
        <v>377</v>
      </c>
      <c r="C38" s="76">
        <v>8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8</v>
      </c>
      <c r="K38" s="363">
        <f t="shared" si="5"/>
        <v>0</v>
      </c>
      <c r="N38" s="221"/>
      <c r="P38" s="86"/>
    </row>
    <row r="39" spans="1:16" s="74" customFormat="1" ht="26.25" customHeight="1">
      <c r="A39" s="77" t="s">
        <v>369</v>
      </c>
      <c r="B39" s="80" t="s">
        <v>378</v>
      </c>
      <c r="C39" s="76">
        <v>11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3</v>
      </c>
      <c r="K39" s="363">
        <f t="shared" si="5"/>
        <v>8</v>
      </c>
      <c r="N39" s="221"/>
      <c r="P39" s="86"/>
    </row>
    <row r="40" spans="1:16" s="74" customFormat="1" ht="27" customHeight="1">
      <c r="A40" s="77" t="s">
        <v>379</v>
      </c>
      <c r="B40" s="80" t="s">
        <v>381</v>
      </c>
      <c r="C40" s="76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/>
      <c r="K40" s="363">
        <f t="shared" si="5"/>
        <v>0</v>
      </c>
      <c r="N40" s="221"/>
      <c r="P40" s="86"/>
    </row>
    <row r="41" spans="1:16" s="74" customFormat="1" ht="15.75">
      <c r="A41" s="77" t="s">
        <v>380</v>
      </c>
      <c r="B41" s="80" t="s">
        <v>82</v>
      </c>
      <c r="C41" s="76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/>
      <c r="K41" s="363">
        <f t="shared" si="5"/>
        <v>0</v>
      </c>
      <c r="N41" s="221"/>
      <c r="P41" s="86"/>
    </row>
    <row r="42" spans="1:16" s="738" customFormat="1" ht="41.25" customHeight="1">
      <c r="A42" s="734">
        <v>6</v>
      </c>
      <c r="B42" s="726" t="s">
        <v>176</v>
      </c>
      <c r="C42" s="735">
        <f aca="true" t="shared" si="6" ref="C42:C78">SUM(D42:K42)</f>
        <v>1996</v>
      </c>
      <c r="D42" s="736">
        <v>1996</v>
      </c>
      <c r="E42" s="737">
        <v>0</v>
      </c>
      <c r="F42" s="736">
        <v>0</v>
      </c>
      <c r="G42" s="737">
        <v>0</v>
      </c>
      <c r="H42" s="737">
        <v>0</v>
      </c>
      <c r="I42" s="737">
        <v>0</v>
      </c>
      <c r="J42" s="737">
        <v>0</v>
      </c>
      <c r="K42" s="737">
        <v>0</v>
      </c>
      <c r="N42" s="739"/>
      <c r="P42" s="730"/>
    </row>
    <row r="43" spans="1:16" s="738" customFormat="1" ht="29.25" customHeight="1">
      <c r="A43" s="725">
        <v>7</v>
      </c>
      <c r="B43" s="726" t="s">
        <v>184</v>
      </c>
      <c r="C43" s="735">
        <f t="shared" si="6"/>
        <v>13505</v>
      </c>
      <c r="D43" s="728">
        <v>0</v>
      </c>
      <c r="E43" s="728">
        <v>0</v>
      </c>
      <c r="F43" s="728">
        <v>0</v>
      </c>
      <c r="G43" s="728">
        <v>0</v>
      </c>
      <c r="H43" s="728">
        <v>13505</v>
      </c>
      <c r="I43" s="728">
        <v>0</v>
      </c>
      <c r="J43" s="728">
        <v>0</v>
      </c>
      <c r="K43" s="728">
        <v>0</v>
      </c>
      <c r="L43" s="740"/>
      <c r="M43" s="741"/>
      <c r="P43" s="730"/>
    </row>
    <row r="44" spans="1:16" s="738" customFormat="1" ht="21.75" customHeight="1">
      <c r="A44" s="725">
        <v>8</v>
      </c>
      <c r="B44" s="726" t="s">
        <v>188</v>
      </c>
      <c r="C44" s="735">
        <f t="shared" si="6"/>
        <v>5607</v>
      </c>
      <c r="D44" s="728">
        <f>SUM(D45:D63)</f>
        <v>0</v>
      </c>
      <c r="E44" s="728">
        <f>SUM(E45:E63)</f>
        <v>0</v>
      </c>
      <c r="F44" s="728">
        <f>SUM(F45:F63)</f>
        <v>0</v>
      </c>
      <c r="G44" s="728">
        <f>SUM(G45:G63)</f>
        <v>317</v>
      </c>
      <c r="H44" s="728">
        <f>SUM(H45:H75)</f>
        <v>5290</v>
      </c>
      <c r="I44" s="728">
        <f>SUM(I45:I63)</f>
        <v>0</v>
      </c>
      <c r="J44" s="728">
        <f>SUM(J45:J63)</f>
        <v>0</v>
      </c>
      <c r="K44" s="728">
        <f>SUM(K45:K63)</f>
        <v>0</v>
      </c>
      <c r="M44" s="742"/>
      <c r="P44" s="730"/>
    </row>
    <row r="45" spans="1:16" ht="54" customHeight="1">
      <c r="A45" s="77" t="s">
        <v>112</v>
      </c>
      <c r="B45" s="81" t="s">
        <v>104</v>
      </c>
      <c r="C45" s="76">
        <f t="shared" si="6"/>
        <v>182</v>
      </c>
      <c r="D45" s="75">
        <v>0</v>
      </c>
      <c r="E45" s="75">
        <v>0</v>
      </c>
      <c r="F45" s="224">
        <v>0</v>
      </c>
      <c r="G45" s="75">
        <v>182</v>
      </c>
      <c r="H45" s="75">
        <v>0</v>
      </c>
      <c r="I45" s="75"/>
      <c r="J45" s="75"/>
      <c r="K45" s="75">
        <v>0</v>
      </c>
      <c r="M45" s="356"/>
      <c r="P45" s="86"/>
    </row>
    <row r="46" spans="1:16" ht="18" customHeight="1">
      <c r="A46" s="77" t="s">
        <v>113</v>
      </c>
      <c r="B46" s="81" t="s">
        <v>105</v>
      </c>
      <c r="C46" s="76">
        <f t="shared" si="6"/>
        <v>61</v>
      </c>
      <c r="D46" s="75">
        <v>0</v>
      </c>
      <c r="E46" s="75">
        <v>0</v>
      </c>
      <c r="F46" s="224">
        <v>0</v>
      </c>
      <c r="G46" s="75">
        <v>61</v>
      </c>
      <c r="H46" s="75">
        <v>0</v>
      </c>
      <c r="I46" s="75"/>
      <c r="J46" s="75"/>
      <c r="K46" s="75">
        <v>0</v>
      </c>
      <c r="M46" s="356"/>
      <c r="P46" s="86"/>
    </row>
    <row r="47" spans="1:16" ht="18" customHeight="1">
      <c r="A47" s="77" t="s">
        <v>156</v>
      </c>
      <c r="B47" s="81" t="s">
        <v>106</v>
      </c>
      <c r="C47" s="76">
        <f t="shared" si="6"/>
        <v>0</v>
      </c>
      <c r="D47" s="75">
        <v>0</v>
      </c>
      <c r="E47" s="75">
        <v>0</v>
      </c>
      <c r="F47" s="224">
        <v>0</v>
      </c>
      <c r="G47" s="75">
        <v>0</v>
      </c>
      <c r="H47" s="75">
        <v>0</v>
      </c>
      <c r="I47" s="75"/>
      <c r="J47" s="75"/>
      <c r="K47" s="75">
        <v>0</v>
      </c>
      <c r="M47" s="356"/>
      <c r="P47" s="86"/>
    </row>
    <row r="48" spans="1:16" ht="18" customHeight="1">
      <c r="A48" s="77" t="s">
        <v>179</v>
      </c>
      <c r="B48" s="81" t="s">
        <v>107</v>
      </c>
      <c r="C48" s="76">
        <f t="shared" si="6"/>
        <v>0</v>
      </c>
      <c r="D48" s="75">
        <v>0</v>
      </c>
      <c r="E48" s="75">
        <v>0</v>
      </c>
      <c r="F48" s="224">
        <v>0</v>
      </c>
      <c r="G48" s="75">
        <v>0</v>
      </c>
      <c r="H48" s="75">
        <v>0</v>
      </c>
      <c r="I48" s="75"/>
      <c r="J48" s="75"/>
      <c r="K48" s="75">
        <v>0</v>
      </c>
      <c r="M48" s="356"/>
      <c r="P48" s="86"/>
    </row>
    <row r="49" spans="1:16" ht="18" customHeight="1">
      <c r="A49" s="77" t="s">
        <v>180</v>
      </c>
      <c r="B49" s="81" t="s">
        <v>108</v>
      </c>
      <c r="C49" s="76">
        <f t="shared" si="6"/>
        <v>2</v>
      </c>
      <c r="D49" s="75">
        <v>0</v>
      </c>
      <c r="E49" s="75">
        <v>0</v>
      </c>
      <c r="F49" s="224">
        <v>0</v>
      </c>
      <c r="G49" s="75">
        <f>10-8</f>
        <v>2</v>
      </c>
      <c r="H49" s="75">
        <v>0</v>
      </c>
      <c r="I49" s="75"/>
      <c r="J49" s="75"/>
      <c r="K49" s="75">
        <v>0</v>
      </c>
      <c r="M49" s="356"/>
      <c r="P49" s="86"/>
    </row>
    <row r="50" spans="1:16" ht="18" customHeight="1">
      <c r="A50" s="77" t="s">
        <v>181</v>
      </c>
      <c r="B50" s="81" t="s">
        <v>109</v>
      </c>
      <c r="C50" s="76">
        <f t="shared" si="6"/>
        <v>45</v>
      </c>
      <c r="D50" s="75">
        <v>0</v>
      </c>
      <c r="E50" s="75">
        <v>0</v>
      </c>
      <c r="F50" s="224">
        <v>0</v>
      </c>
      <c r="G50" s="75">
        <v>45</v>
      </c>
      <c r="H50" s="75">
        <v>0</v>
      </c>
      <c r="I50" s="75"/>
      <c r="J50" s="75"/>
      <c r="K50" s="75">
        <v>0</v>
      </c>
      <c r="M50" s="356"/>
      <c r="P50" s="86"/>
    </row>
    <row r="51" spans="1:16" ht="15.75" customHeight="1">
      <c r="A51" s="77" t="s">
        <v>182</v>
      </c>
      <c r="B51" s="81" t="s">
        <v>110</v>
      </c>
      <c r="C51" s="76">
        <f t="shared" si="6"/>
        <v>11</v>
      </c>
      <c r="D51" s="75">
        <v>0</v>
      </c>
      <c r="E51" s="75">
        <v>0</v>
      </c>
      <c r="F51" s="224">
        <v>0</v>
      </c>
      <c r="G51" s="75">
        <v>11</v>
      </c>
      <c r="H51" s="75">
        <v>0</v>
      </c>
      <c r="I51" s="75"/>
      <c r="J51" s="75"/>
      <c r="K51" s="75">
        <v>0</v>
      </c>
      <c r="M51" s="356"/>
      <c r="P51" s="86"/>
    </row>
    <row r="52" spans="1:16" ht="15.75" customHeight="1">
      <c r="A52" s="77" t="s">
        <v>183</v>
      </c>
      <c r="B52" s="81" t="s">
        <v>111</v>
      </c>
      <c r="C52" s="76">
        <f t="shared" si="6"/>
        <v>16</v>
      </c>
      <c r="D52" s="75">
        <v>0</v>
      </c>
      <c r="E52" s="75">
        <v>0</v>
      </c>
      <c r="F52" s="224">
        <v>0</v>
      </c>
      <c r="G52" s="75">
        <v>16</v>
      </c>
      <c r="H52" s="75">
        <v>0</v>
      </c>
      <c r="I52" s="75"/>
      <c r="J52" s="75"/>
      <c r="K52" s="75">
        <v>0</v>
      </c>
      <c r="M52" s="356"/>
      <c r="N52" s="272"/>
      <c r="P52" s="86"/>
    </row>
    <row r="53" spans="1:16" ht="15.75" customHeight="1">
      <c r="A53" s="77" t="s">
        <v>288</v>
      </c>
      <c r="B53" s="81" t="s">
        <v>304</v>
      </c>
      <c r="C53" s="76">
        <f t="shared" si="6"/>
        <v>1100</v>
      </c>
      <c r="D53" s="75"/>
      <c r="E53" s="75"/>
      <c r="F53" s="224"/>
      <c r="G53" s="75"/>
      <c r="H53" s="75">
        <v>1100</v>
      </c>
      <c r="I53" s="75"/>
      <c r="J53" s="75"/>
      <c r="K53" s="75"/>
      <c r="L53" s="298"/>
      <c r="M53" s="299"/>
      <c r="N53" s="272"/>
      <c r="P53" s="86"/>
    </row>
    <row r="54" spans="1:16" ht="27.75" customHeight="1">
      <c r="A54" s="77" t="s">
        <v>289</v>
      </c>
      <c r="B54" s="81" t="s">
        <v>305</v>
      </c>
      <c r="C54" s="76">
        <f t="shared" si="6"/>
        <v>940</v>
      </c>
      <c r="D54" s="75"/>
      <c r="E54" s="75"/>
      <c r="F54" s="224"/>
      <c r="G54" s="75"/>
      <c r="H54" s="75">
        <v>940</v>
      </c>
      <c r="I54" s="75"/>
      <c r="J54" s="75"/>
      <c r="K54" s="75"/>
      <c r="L54" s="298"/>
      <c r="M54" s="299"/>
      <c r="N54" s="272"/>
      <c r="P54" s="86"/>
    </row>
    <row r="55" spans="1:16" ht="15.75" customHeight="1">
      <c r="A55" s="77" t="s">
        <v>290</v>
      </c>
      <c r="B55" s="81" t="s">
        <v>306</v>
      </c>
      <c r="C55" s="76">
        <f t="shared" si="6"/>
        <v>645</v>
      </c>
      <c r="D55" s="75"/>
      <c r="E55" s="75"/>
      <c r="F55" s="224"/>
      <c r="G55" s="75"/>
      <c r="H55" s="75">
        <v>645</v>
      </c>
      <c r="I55" s="75"/>
      <c r="J55" s="75"/>
      <c r="K55" s="75"/>
      <c r="L55" s="298"/>
      <c r="M55" s="299"/>
      <c r="N55" s="272"/>
      <c r="P55" s="86"/>
    </row>
    <row r="56" spans="1:16" ht="29.25" customHeight="1">
      <c r="A56" s="77" t="s">
        <v>291</v>
      </c>
      <c r="B56" s="81" t="s">
        <v>307</v>
      </c>
      <c r="C56" s="76">
        <f t="shared" si="6"/>
        <v>371</v>
      </c>
      <c r="D56" s="75"/>
      <c r="E56" s="75"/>
      <c r="F56" s="224"/>
      <c r="G56" s="75"/>
      <c r="H56" s="75">
        <v>371</v>
      </c>
      <c r="I56" s="75"/>
      <c r="J56" s="75"/>
      <c r="K56" s="75"/>
      <c r="L56" s="298"/>
      <c r="M56" s="299"/>
      <c r="N56" s="272"/>
      <c r="P56" s="86"/>
    </row>
    <row r="57" spans="1:16" ht="29.25" customHeight="1">
      <c r="A57" s="77" t="s">
        <v>292</v>
      </c>
      <c r="B57" s="81" t="s">
        <v>308</v>
      </c>
      <c r="C57" s="76">
        <f t="shared" si="6"/>
        <v>469</v>
      </c>
      <c r="D57" s="75"/>
      <c r="E57" s="75"/>
      <c r="F57" s="224"/>
      <c r="G57" s="75"/>
      <c r="H57" s="75">
        <v>469</v>
      </c>
      <c r="I57" s="75"/>
      <c r="J57" s="75"/>
      <c r="K57" s="75"/>
      <c r="L57" s="298"/>
      <c r="M57" s="299"/>
      <c r="N57" s="272"/>
      <c r="P57" s="86"/>
    </row>
    <row r="58" spans="1:16" ht="18" customHeight="1">
      <c r="A58" s="77" t="s">
        <v>293</v>
      </c>
      <c r="B58" s="81" t="s">
        <v>309</v>
      </c>
      <c r="C58" s="76">
        <f t="shared" si="6"/>
        <v>175</v>
      </c>
      <c r="D58" s="75"/>
      <c r="E58" s="75"/>
      <c r="F58" s="224"/>
      <c r="G58" s="75"/>
      <c r="H58" s="75">
        <v>175</v>
      </c>
      <c r="I58" s="75"/>
      <c r="J58" s="75"/>
      <c r="K58" s="75"/>
      <c r="L58" s="298"/>
      <c r="M58" s="299"/>
      <c r="N58" s="272"/>
      <c r="P58" s="86"/>
    </row>
    <row r="59" spans="1:16" ht="18" customHeight="1">
      <c r="A59" s="77" t="s">
        <v>294</v>
      </c>
      <c r="B59" s="81" t="s">
        <v>317</v>
      </c>
      <c r="C59" s="76">
        <f t="shared" si="6"/>
        <v>13</v>
      </c>
      <c r="D59" s="75"/>
      <c r="E59" s="75"/>
      <c r="F59" s="224"/>
      <c r="G59" s="75"/>
      <c r="H59" s="75">
        <v>13</v>
      </c>
      <c r="I59" s="75"/>
      <c r="J59" s="75"/>
      <c r="K59" s="75"/>
      <c r="L59" s="298"/>
      <c r="M59" s="299"/>
      <c r="N59" s="272"/>
      <c r="P59" s="86"/>
    </row>
    <row r="60" spans="1:16" ht="18" customHeight="1">
      <c r="A60" s="77" t="s">
        <v>295</v>
      </c>
      <c r="B60" s="81" t="s">
        <v>310</v>
      </c>
      <c r="C60" s="76">
        <f t="shared" si="6"/>
        <v>12</v>
      </c>
      <c r="D60" s="75"/>
      <c r="E60" s="75"/>
      <c r="F60" s="224"/>
      <c r="G60" s="75"/>
      <c r="H60" s="75">
        <v>12</v>
      </c>
      <c r="I60" s="75"/>
      <c r="J60" s="75"/>
      <c r="K60" s="75"/>
      <c r="L60" s="298"/>
      <c r="M60" s="299"/>
      <c r="N60" s="272"/>
      <c r="P60" s="86"/>
    </row>
    <row r="61" spans="1:16" ht="28.5" customHeight="1">
      <c r="A61" s="77" t="s">
        <v>296</v>
      </c>
      <c r="B61" s="81" t="s">
        <v>311</v>
      </c>
      <c r="C61" s="76">
        <f t="shared" si="6"/>
        <v>4</v>
      </c>
      <c r="D61" s="75"/>
      <c r="E61" s="75"/>
      <c r="F61" s="224"/>
      <c r="G61" s="75"/>
      <c r="H61" s="75">
        <v>4</v>
      </c>
      <c r="I61" s="75"/>
      <c r="J61" s="75"/>
      <c r="K61" s="75"/>
      <c r="L61" s="298"/>
      <c r="M61" s="299"/>
      <c r="N61" s="272"/>
      <c r="P61" s="86"/>
    </row>
    <row r="62" spans="1:16" ht="30" customHeight="1">
      <c r="A62" s="77" t="s">
        <v>297</v>
      </c>
      <c r="B62" s="81" t="s">
        <v>312</v>
      </c>
      <c r="C62" s="76">
        <f t="shared" si="6"/>
        <v>6</v>
      </c>
      <c r="D62" s="75"/>
      <c r="E62" s="75"/>
      <c r="F62" s="224"/>
      <c r="G62" s="75"/>
      <c r="H62" s="75">
        <v>6</v>
      </c>
      <c r="I62" s="75"/>
      <c r="J62" s="75"/>
      <c r="K62" s="75"/>
      <c r="L62" s="298"/>
      <c r="M62" s="299"/>
      <c r="N62" s="272"/>
      <c r="P62" s="86"/>
    </row>
    <row r="63" spans="1:16" ht="16.5" customHeight="1">
      <c r="A63" s="77" t="s">
        <v>298</v>
      </c>
      <c r="B63" s="81" t="s">
        <v>313</v>
      </c>
      <c r="C63" s="76">
        <f t="shared" si="6"/>
        <v>8</v>
      </c>
      <c r="D63" s="75"/>
      <c r="E63" s="75"/>
      <c r="F63" s="224"/>
      <c r="G63" s="75"/>
      <c r="H63" s="75">
        <v>8</v>
      </c>
      <c r="I63" s="75"/>
      <c r="J63" s="75"/>
      <c r="K63" s="75"/>
      <c r="L63" s="298"/>
      <c r="M63" s="299"/>
      <c r="N63" s="272"/>
      <c r="P63" s="86"/>
    </row>
    <row r="64" spans="1:16" ht="27.75" customHeight="1">
      <c r="A64" s="77" t="s">
        <v>299</v>
      </c>
      <c r="B64" s="81" t="s">
        <v>314</v>
      </c>
      <c r="C64" s="76">
        <f t="shared" si="6"/>
        <v>17</v>
      </c>
      <c r="D64" s="75"/>
      <c r="E64" s="75"/>
      <c r="F64" s="224"/>
      <c r="G64" s="75"/>
      <c r="H64" s="75">
        <v>17</v>
      </c>
      <c r="I64" s="273"/>
      <c r="J64" s="273"/>
      <c r="K64" s="75"/>
      <c r="L64" s="298"/>
      <c r="M64" s="299"/>
      <c r="P64" s="86"/>
    </row>
    <row r="65" spans="1:16" ht="24" customHeight="1">
      <c r="A65" s="77" t="s">
        <v>300</v>
      </c>
      <c r="B65" s="81" t="s">
        <v>315</v>
      </c>
      <c r="C65" s="76">
        <f t="shared" si="6"/>
        <v>62</v>
      </c>
      <c r="D65" s="75"/>
      <c r="E65" s="75"/>
      <c r="F65" s="224"/>
      <c r="G65" s="75"/>
      <c r="H65" s="75">
        <v>62</v>
      </c>
      <c r="I65" s="273"/>
      <c r="J65" s="273"/>
      <c r="K65" s="75"/>
      <c r="L65" s="298"/>
      <c r="M65" s="299"/>
      <c r="P65" s="86"/>
    </row>
    <row r="66" spans="1:16" ht="21" customHeight="1">
      <c r="A66" s="77" t="s">
        <v>301</v>
      </c>
      <c r="B66" s="81" t="s">
        <v>316</v>
      </c>
      <c r="C66" s="76">
        <f t="shared" si="6"/>
        <v>3</v>
      </c>
      <c r="D66" s="75"/>
      <c r="E66" s="75"/>
      <c r="F66" s="224"/>
      <c r="G66" s="75"/>
      <c r="H66" s="75">
        <v>3</v>
      </c>
      <c r="I66" s="273"/>
      <c r="J66" s="273"/>
      <c r="K66" s="75"/>
      <c r="L66" s="298"/>
      <c r="M66" s="299"/>
      <c r="P66" s="86"/>
    </row>
    <row r="67" spans="1:16" ht="34.5" customHeight="1">
      <c r="A67" s="77" t="s">
        <v>466</v>
      </c>
      <c r="B67" s="81" t="s">
        <v>457</v>
      </c>
      <c r="C67" s="76">
        <f t="shared" si="6"/>
        <v>0</v>
      </c>
      <c r="D67" s="75"/>
      <c r="E67" s="75"/>
      <c r="F67" s="224"/>
      <c r="G67" s="75"/>
      <c r="H67" s="273" t="s">
        <v>389</v>
      </c>
      <c r="I67" s="273"/>
      <c r="J67" s="273"/>
      <c r="K67" s="75"/>
      <c r="L67" s="298"/>
      <c r="M67" s="299"/>
      <c r="P67" s="86"/>
    </row>
    <row r="68" spans="1:16" ht="34.5" customHeight="1">
      <c r="A68" s="77" t="s">
        <v>467</v>
      </c>
      <c r="B68" s="81" t="s">
        <v>458</v>
      </c>
      <c r="C68" s="76">
        <f t="shared" si="6"/>
        <v>0</v>
      </c>
      <c r="D68" s="75"/>
      <c r="E68" s="75"/>
      <c r="F68" s="224"/>
      <c r="G68" s="75"/>
      <c r="H68" s="273" t="s">
        <v>389</v>
      </c>
      <c r="I68" s="273"/>
      <c r="J68" s="273"/>
      <c r="K68" s="75"/>
      <c r="L68" s="298"/>
      <c r="M68" s="299"/>
      <c r="P68" s="86"/>
    </row>
    <row r="69" spans="1:16" ht="34.5" customHeight="1">
      <c r="A69" s="77" t="s">
        <v>468</v>
      </c>
      <c r="B69" s="81" t="s">
        <v>459</v>
      </c>
      <c r="C69" s="76">
        <f t="shared" si="6"/>
        <v>0</v>
      </c>
      <c r="D69" s="75"/>
      <c r="E69" s="75"/>
      <c r="F69" s="224"/>
      <c r="G69" s="75"/>
      <c r="H69" s="273" t="s">
        <v>389</v>
      </c>
      <c r="I69" s="273"/>
      <c r="J69" s="273"/>
      <c r="K69" s="75"/>
      <c r="L69" s="298"/>
      <c r="M69" s="299"/>
      <c r="P69" s="86"/>
    </row>
    <row r="70" spans="1:16" ht="34.5" customHeight="1">
      <c r="A70" s="77" t="s">
        <v>469</v>
      </c>
      <c r="B70" s="81" t="s">
        <v>460</v>
      </c>
      <c r="C70" s="76">
        <f t="shared" si="6"/>
        <v>577</v>
      </c>
      <c r="D70" s="75"/>
      <c r="E70" s="75"/>
      <c r="F70" s="224"/>
      <c r="G70" s="75"/>
      <c r="H70" s="75">
        <v>577</v>
      </c>
      <c r="I70" s="273"/>
      <c r="J70" s="273"/>
      <c r="K70" s="75"/>
      <c r="L70" s="298"/>
      <c r="M70" s="299"/>
      <c r="P70" s="86"/>
    </row>
    <row r="71" spans="1:16" ht="34.5" customHeight="1">
      <c r="A71" s="77" t="s">
        <v>470</v>
      </c>
      <c r="B71" s="81" t="s">
        <v>461</v>
      </c>
      <c r="C71" s="76">
        <f t="shared" si="6"/>
        <v>576</v>
      </c>
      <c r="D71" s="75"/>
      <c r="E71" s="75"/>
      <c r="F71" s="224"/>
      <c r="G71" s="75"/>
      <c r="H71" s="75">
        <v>576</v>
      </c>
      <c r="I71" s="273"/>
      <c r="J71" s="273"/>
      <c r="K71" s="75"/>
      <c r="L71" s="298"/>
      <c r="M71" s="299"/>
      <c r="P71" s="86"/>
    </row>
    <row r="72" spans="1:16" ht="34.5" customHeight="1">
      <c r="A72" s="77" t="s">
        <v>471</v>
      </c>
      <c r="B72" s="81" t="s">
        <v>462</v>
      </c>
      <c r="C72" s="76">
        <f t="shared" si="6"/>
        <v>0</v>
      </c>
      <c r="D72" s="75"/>
      <c r="E72" s="75"/>
      <c r="F72" s="224"/>
      <c r="G72" s="75"/>
      <c r="H72" s="75">
        <v>0</v>
      </c>
      <c r="I72" s="273"/>
      <c r="J72" s="273"/>
      <c r="K72" s="75"/>
      <c r="L72" s="298"/>
      <c r="M72" s="299"/>
      <c r="P72" s="86"/>
    </row>
    <row r="73" spans="1:16" ht="34.5" customHeight="1">
      <c r="A73" s="77" t="s">
        <v>472</v>
      </c>
      <c r="B73" s="81" t="s">
        <v>463</v>
      </c>
      <c r="C73" s="76">
        <f t="shared" si="6"/>
        <v>312</v>
      </c>
      <c r="D73" s="75"/>
      <c r="E73" s="75"/>
      <c r="F73" s="224"/>
      <c r="G73" s="75"/>
      <c r="H73" s="75">
        <v>312</v>
      </c>
      <c r="I73" s="273"/>
      <c r="J73" s="273"/>
      <c r="K73" s="75"/>
      <c r="L73" s="298"/>
      <c r="M73" s="299"/>
      <c r="P73" s="86"/>
    </row>
    <row r="74" spans="1:16" ht="34.5" customHeight="1">
      <c r="A74" s="77" t="s">
        <v>473</v>
      </c>
      <c r="B74" s="81" t="s">
        <v>464</v>
      </c>
      <c r="C74" s="76">
        <f t="shared" si="6"/>
        <v>0</v>
      </c>
      <c r="D74" s="75"/>
      <c r="E74" s="75"/>
      <c r="F74" s="224"/>
      <c r="G74" s="75"/>
      <c r="H74" s="273" t="s">
        <v>389</v>
      </c>
      <c r="I74" s="273"/>
      <c r="J74" s="273"/>
      <c r="K74" s="75"/>
      <c r="L74" s="298"/>
      <c r="M74" s="299"/>
      <c r="P74" s="86"/>
    </row>
    <row r="75" spans="1:16" ht="34.5" customHeight="1">
      <c r="A75" s="77" t="s">
        <v>474</v>
      </c>
      <c r="B75" s="81" t="s">
        <v>465</v>
      </c>
      <c r="C75" s="76">
        <f t="shared" si="6"/>
        <v>0</v>
      </c>
      <c r="D75" s="75"/>
      <c r="E75" s="75"/>
      <c r="F75" s="224"/>
      <c r="G75" s="75"/>
      <c r="H75" s="273" t="s">
        <v>389</v>
      </c>
      <c r="I75" s="273"/>
      <c r="J75" s="273"/>
      <c r="K75" s="75"/>
      <c r="L75" s="298"/>
      <c r="M75" s="299"/>
      <c r="P75" s="86"/>
    </row>
    <row r="76" spans="1:16" s="729" customFormat="1" ht="19.5" customHeight="1">
      <c r="A76" s="725">
        <v>9</v>
      </c>
      <c r="B76" s="726" t="s">
        <v>386</v>
      </c>
      <c r="C76" s="727">
        <f t="shared" si="6"/>
        <v>3128</v>
      </c>
      <c r="D76" s="728">
        <f aca="true" t="shared" si="7" ref="D76:I76">D77+D78</f>
        <v>3128</v>
      </c>
      <c r="E76" s="728">
        <f t="shared" si="7"/>
        <v>0</v>
      </c>
      <c r="F76" s="728">
        <f t="shared" si="7"/>
        <v>0</v>
      </c>
      <c r="G76" s="728">
        <f t="shared" si="7"/>
        <v>0</v>
      </c>
      <c r="H76" s="728">
        <f t="shared" si="7"/>
        <v>0</v>
      </c>
      <c r="I76" s="728">
        <f t="shared" si="7"/>
        <v>0</v>
      </c>
      <c r="J76" s="728"/>
      <c r="K76" s="728">
        <f>K77+K78</f>
        <v>0</v>
      </c>
      <c r="P76" s="730"/>
    </row>
    <row r="77" spans="1:16" ht="17.25" customHeight="1">
      <c r="A77" s="77" t="s">
        <v>177</v>
      </c>
      <c r="B77" s="300" t="s">
        <v>114</v>
      </c>
      <c r="C77" s="301">
        <f t="shared" si="6"/>
        <v>1249</v>
      </c>
      <c r="D77" s="294">
        <v>1249</v>
      </c>
      <c r="E77" s="75">
        <v>0</v>
      </c>
      <c r="F77" s="224">
        <v>0</v>
      </c>
      <c r="G77" s="75">
        <v>0</v>
      </c>
      <c r="H77" s="75">
        <v>0</v>
      </c>
      <c r="I77" s="75"/>
      <c r="J77" s="75"/>
      <c r="K77" s="75">
        <v>0</v>
      </c>
      <c r="M77" s="272"/>
      <c r="P77" s="86"/>
    </row>
    <row r="78" spans="1:16" ht="17.25" customHeight="1">
      <c r="A78" s="77" t="s">
        <v>178</v>
      </c>
      <c r="B78" s="300" t="s">
        <v>115</v>
      </c>
      <c r="C78" s="301">
        <f t="shared" si="6"/>
        <v>1879</v>
      </c>
      <c r="D78" s="294">
        <v>1879</v>
      </c>
      <c r="E78" s="75">
        <v>0</v>
      </c>
      <c r="F78" s="224">
        <v>0</v>
      </c>
      <c r="G78" s="75">
        <v>0</v>
      </c>
      <c r="H78" s="75">
        <v>0</v>
      </c>
      <c r="I78" s="75"/>
      <c r="J78" s="75"/>
      <c r="K78" s="75">
        <v>0</v>
      </c>
      <c r="M78" s="272"/>
      <c r="P78" s="86"/>
    </row>
    <row r="79" spans="1:11" s="729" customFormat="1" ht="15.75">
      <c r="A79" s="731">
        <v>10</v>
      </c>
      <c r="B79" s="726" t="s">
        <v>387</v>
      </c>
      <c r="C79" s="732">
        <f>C80</f>
        <v>1150</v>
      </c>
      <c r="D79" s="733">
        <f aca="true" t="shared" si="8" ref="D79:K79">D80</f>
        <v>0</v>
      </c>
      <c r="E79" s="733">
        <f t="shared" si="8"/>
        <v>0</v>
      </c>
      <c r="F79" s="733">
        <f t="shared" si="8"/>
        <v>1150</v>
      </c>
      <c r="G79" s="733">
        <f t="shared" si="8"/>
        <v>0</v>
      </c>
      <c r="H79" s="733">
        <f t="shared" si="8"/>
        <v>0</v>
      </c>
      <c r="I79" s="733">
        <f t="shared" si="8"/>
        <v>0</v>
      </c>
      <c r="J79" s="733">
        <f t="shared" si="8"/>
        <v>0</v>
      </c>
      <c r="K79" s="733">
        <f t="shared" si="8"/>
        <v>0</v>
      </c>
    </row>
    <row r="80" spans="1:11" ht="15.75">
      <c r="A80" s="77" t="s">
        <v>318</v>
      </c>
      <c r="B80" s="81" t="s">
        <v>319</v>
      </c>
      <c r="C80" s="76">
        <f>SUM(D80:K80)</f>
        <v>1150</v>
      </c>
      <c r="D80" s="78">
        <v>0</v>
      </c>
      <c r="E80" s="78">
        <v>0</v>
      </c>
      <c r="F80" s="78">
        <v>1150</v>
      </c>
      <c r="G80" s="78">
        <v>0</v>
      </c>
      <c r="H80" s="78">
        <v>0</v>
      </c>
      <c r="I80" s="78"/>
      <c r="J80" s="78"/>
      <c r="K80" s="78">
        <v>0</v>
      </c>
    </row>
    <row r="81" ht="15">
      <c r="C81" s="214"/>
    </row>
  </sheetData>
  <sheetProtection/>
  <mergeCells count="3">
    <mergeCell ref="A4:K4"/>
    <mergeCell ref="A3:K3"/>
    <mergeCell ref="H1:K1"/>
  </mergeCells>
  <printOptions/>
  <pageMargins left="0.1968503937007874" right="0.1968503937007874" top="0.7874015748031497" bottom="0.31496062992125984" header="0.31496062992125984" footer="0.31496062992125984"/>
  <pageSetup firstPageNumber="1" useFirstPageNumber="1" horizontalDpi="600" verticalDpi="600" orientation="landscape" paperSize="9" scale="70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O251"/>
  <sheetViews>
    <sheetView view="pageBreakPreview" zoomScale="80" zoomScaleSheetLayoutView="80" zoomScalePageLayoutView="0" workbookViewId="0" topLeftCell="A1">
      <pane xSplit="3" ySplit="7" topLeftCell="D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99" sqref="H99"/>
    </sheetView>
  </sheetViews>
  <sheetFormatPr defaultColWidth="9.140625" defaultRowHeight="12.75"/>
  <cols>
    <col min="1" max="2" width="9.421875" style="95" customWidth="1"/>
    <col min="3" max="3" width="89.7109375" style="95" customWidth="1"/>
    <col min="4" max="4" width="18.8515625" style="95" customWidth="1"/>
    <col min="5" max="6" width="9.140625" style="95" customWidth="1"/>
    <col min="7" max="7" width="11.7109375" style="95" customWidth="1"/>
    <col min="8" max="16384" width="9.140625" style="95" customWidth="1"/>
  </cols>
  <sheetData>
    <row r="1" ht="15.75">
      <c r="D1" s="241" t="s">
        <v>270</v>
      </c>
    </row>
    <row r="3" spans="1:4" s="93" customFormat="1" ht="13.5" customHeight="1">
      <c r="A3" s="94"/>
      <c r="B3" s="94"/>
      <c r="C3" s="94"/>
      <c r="D3" s="94"/>
    </row>
    <row r="4" spans="2:4" s="93" customFormat="1" ht="31.5" customHeight="1">
      <c r="B4" s="920" t="s">
        <v>272</v>
      </c>
      <c r="C4" s="920"/>
      <c r="D4" s="920"/>
    </row>
    <row r="5" ht="15.75" thickBot="1"/>
    <row r="6" spans="1:4" ht="48.75" customHeight="1" thickBot="1" thickTop="1">
      <c r="A6" s="748" t="s">
        <v>323</v>
      </c>
      <c r="B6" s="748" t="s">
        <v>159</v>
      </c>
      <c r="C6" s="749" t="s">
        <v>75</v>
      </c>
      <c r="D6" s="750" t="s">
        <v>160</v>
      </c>
    </row>
    <row r="7" spans="1:4" ht="21.75" customHeight="1" thickBot="1" thickTop="1">
      <c r="A7" s="913" t="s">
        <v>228</v>
      </c>
      <c r="B7" s="913"/>
      <c r="C7" s="913"/>
      <c r="D7" s="913"/>
    </row>
    <row r="8" spans="1:4" ht="15.75" customHeight="1" thickTop="1">
      <c r="A8" s="13">
        <v>6</v>
      </c>
      <c r="B8" s="13"/>
      <c r="C8" s="14" t="s">
        <v>212</v>
      </c>
      <c r="D8" s="96">
        <f>381</f>
        <v>381</v>
      </c>
    </row>
    <row r="9" spans="1:4" ht="15.75" customHeight="1">
      <c r="A9" s="13">
        <v>5</v>
      </c>
      <c r="B9" s="13"/>
      <c r="C9" s="14" t="s">
        <v>211</v>
      </c>
      <c r="D9" s="96">
        <f>89</f>
        <v>89</v>
      </c>
    </row>
    <row r="10" spans="1:4" ht="15.75" customHeight="1">
      <c r="A10" s="13">
        <v>4</v>
      </c>
      <c r="B10" s="13"/>
      <c r="C10" s="14" t="s">
        <v>210</v>
      </c>
      <c r="D10" s="96">
        <f>72</f>
        <v>72</v>
      </c>
    </row>
    <row r="11" spans="1:4" ht="15.75">
      <c r="A11" s="13">
        <v>14</v>
      </c>
      <c r="B11" s="13"/>
      <c r="C11" s="14" t="s">
        <v>14</v>
      </c>
      <c r="D11" s="96">
        <v>390</v>
      </c>
    </row>
    <row r="12" spans="1:15" ht="15.75">
      <c r="A12" s="13">
        <v>15</v>
      </c>
      <c r="B12" s="13"/>
      <c r="C12" s="14" t="s">
        <v>15</v>
      </c>
      <c r="D12" s="96">
        <v>187</v>
      </c>
      <c r="O12" s="95" t="s">
        <v>54</v>
      </c>
    </row>
    <row r="13" spans="1:4" ht="15.75">
      <c r="A13" s="13">
        <v>16</v>
      </c>
      <c r="B13" s="13"/>
      <c r="C13" s="14" t="s">
        <v>74</v>
      </c>
      <c r="D13" s="96">
        <v>43</v>
      </c>
    </row>
    <row r="14" spans="1:4" ht="15.75">
      <c r="A14" s="13">
        <v>17</v>
      </c>
      <c r="B14" s="13"/>
      <c r="C14" s="14" t="s">
        <v>47</v>
      </c>
      <c r="D14" s="96">
        <v>262</v>
      </c>
    </row>
    <row r="15" spans="1:4" ht="15.75">
      <c r="A15" s="13">
        <v>17</v>
      </c>
      <c r="B15" s="13"/>
      <c r="C15" s="14" t="s">
        <v>50</v>
      </c>
      <c r="D15" s="96">
        <v>44</v>
      </c>
    </row>
    <row r="16" spans="1:5" ht="15.75">
      <c r="A16" s="15">
        <v>24</v>
      </c>
      <c r="B16" s="15"/>
      <c r="C16" s="16" t="s">
        <v>22</v>
      </c>
      <c r="D16" s="97">
        <v>1096</v>
      </c>
      <c r="E16" s="98"/>
    </row>
    <row r="17" spans="1:5" ht="15.75">
      <c r="A17" s="15">
        <v>24</v>
      </c>
      <c r="B17" s="15"/>
      <c r="C17" s="16" t="s">
        <v>24</v>
      </c>
      <c r="D17" s="97">
        <v>364</v>
      </c>
      <c r="E17" s="98"/>
    </row>
    <row r="18" spans="1:4" ht="15.75">
      <c r="A18" s="15">
        <v>26</v>
      </c>
      <c r="B18" s="15"/>
      <c r="C18" s="16" t="s">
        <v>16</v>
      </c>
      <c r="D18" s="97">
        <f>644+272</f>
        <v>916</v>
      </c>
    </row>
    <row r="19" spans="1:4" ht="15.75">
      <c r="A19" s="15">
        <v>26</v>
      </c>
      <c r="B19" s="68"/>
      <c r="C19" s="259" t="s">
        <v>282</v>
      </c>
      <c r="D19" s="97"/>
    </row>
    <row r="20" spans="1:4" ht="60">
      <c r="A20" s="58">
        <f>A18</f>
        <v>26</v>
      </c>
      <c r="B20" s="58">
        <v>43</v>
      </c>
      <c r="C20" s="130" t="s">
        <v>325</v>
      </c>
      <c r="D20" s="372">
        <v>50</v>
      </c>
    </row>
    <row r="21" spans="1:4" s="131" customFormat="1" ht="64.5" customHeight="1">
      <c r="A21" s="58">
        <f>A18</f>
        <v>26</v>
      </c>
      <c r="B21" s="58">
        <v>44</v>
      </c>
      <c r="C21" s="130" t="s">
        <v>334</v>
      </c>
      <c r="D21" s="372">
        <v>20</v>
      </c>
    </row>
    <row r="22" spans="1:4" s="131" customFormat="1" ht="58.5" customHeight="1">
      <c r="A22" s="58">
        <f>A18</f>
        <v>26</v>
      </c>
      <c r="B22" s="58">
        <v>45</v>
      </c>
      <c r="C22" s="130" t="s">
        <v>333</v>
      </c>
      <c r="D22" s="372">
        <v>20</v>
      </c>
    </row>
    <row r="23" spans="1:4" s="131" customFormat="1" ht="62.25" customHeight="1">
      <c r="A23" s="58">
        <f>A18</f>
        <v>26</v>
      </c>
      <c r="B23" s="58">
        <v>46</v>
      </c>
      <c r="C23" s="130" t="s">
        <v>332</v>
      </c>
      <c r="D23" s="372">
        <v>20</v>
      </c>
    </row>
    <row r="24" spans="1:4" s="131" customFormat="1" ht="65.25" customHeight="1">
      <c r="A24" s="58">
        <f>A18</f>
        <v>26</v>
      </c>
      <c r="B24" s="58">
        <v>47</v>
      </c>
      <c r="C24" s="130" t="s">
        <v>331</v>
      </c>
      <c r="D24" s="372">
        <v>12</v>
      </c>
    </row>
    <row r="25" spans="1:4" s="131" customFormat="1" ht="61.5" customHeight="1">
      <c r="A25" s="58">
        <f>A24</f>
        <v>26</v>
      </c>
      <c r="B25" s="58">
        <v>48</v>
      </c>
      <c r="C25" s="130" t="s">
        <v>330</v>
      </c>
      <c r="D25" s="372">
        <v>5</v>
      </c>
    </row>
    <row r="26" spans="1:4" s="131" customFormat="1" ht="47.25" customHeight="1">
      <c r="A26" s="58">
        <f>A24</f>
        <v>26</v>
      </c>
      <c r="B26" s="58">
        <v>49</v>
      </c>
      <c r="C26" s="130" t="s">
        <v>329</v>
      </c>
      <c r="D26" s="372">
        <v>60</v>
      </c>
    </row>
    <row r="27" spans="1:4" s="131" customFormat="1" ht="48" customHeight="1">
      <c r="A27" s="58">
        <f>A26</f>
        <v>26</v>
      </c>
      <c r="B27" s="58">
        <v>50</v>
      </c>
      <c r="C27" s="130" t="s">
        <v>328</v>
      </c>
      <c r="D27" s="372">
        <v>25</v>
      </c>
    </row>
    <row r="28" spans="1:4" s="131" customFormat="1" ht="44.25" customHeight="1">
      <c r="A28" s="58">
        <f>A26</f>
        <v>26</v>
      </c>
      <c r="B28" s="58">
        <v>51</v>
      </c>
      <c r="C28" s="130" t="s">
        <v>327</v>
      </c>
      <c r="D28" s="372">
        <v>10</v>
      </c>
    </row>
    <row r="29" spans="1:4" s="131" customFormat="1" ht="46.5" customHeight="1">
      <c r="A29" s="58">
        <v>26</v>
      </c>
      <c r="B29" s="58">
        <v>55</v>
      </c>
      <c r="C29" s="130" t="s">
        <v>326</v>
      </c>
      <c r="D29" s="372">
        <v>8</v>
      </c>
    </row>
    <row r="30" spans="1:4" s="131" customFormat="1" ht="31.5" customHeight="1">
      <c r="A30" s="58">
        <f>A28</f>
        <v>26</v>
      </c>
      <c r="B30" s="58">
        <v>57</v>
      </c>
      <c r="C30" s="130" t="s">
        <v>391</v>
      </c>
      <c r="D30" s="372">
        <v>42</v>
      </c>
    </row>
    <row r="31" spans="1:4" ht="15.75">
      <c r="A31" s="13">
        <v>30</v>
      </c>
      <c r="B31" s="13"/>
      <c r="C31" s="14" t="s">
        <v>338</v>
      </c>
      <c r="D31" s="96">
        <f>159</f>
        <v>159</v>
      </c>
    </row>
    <row r="32" spans="1:4" ht="31.5">
      <c r="A32" s="13">
        <v>32</v>
      </c>
      <c r="B32" s="13"/>
      <c r="C32" s="14" t="s">
        <v>339</v>
      </c>
      <c r="D32" s="96">
        <f>274</f>
        <v>274</v>
      </c>
    </row>
    <row r="33" spans="1:4" ht="15.75">
      <c r="A33" s="13">
        <v>31</v>
      </c>
      <c r="B33" s="13"/>
      <c r="C33" s="14" t="s">
        <v>340</v>
      </c>
      <c r="D33" s="96">
        <f>188</f>
        <v>188</v>
      </c>
    </row>
    <row r="34" spans="1:5" ht="15.75">
      <c r="A34" s="13">
        <v>34</v>
      </c>
      <c r="B34" s="13"/>
      <c r="C34" s="14" t="s">
        <v>25</v>
      </c>
      <c r="D34" s="96">
        <f>493</f>
        <v>493</v>
      </c>
      <c r="E34" s="98"/>
    </row>
    <row r="35" spans="1:5" ht="15.75">
      <c r="A35" s="13">
        <v>35</v>
      </c>
      <c r="B35" s="13"/>
      <c r="C35" s="14" t="s">
        <v>583</v>
      </c>
      <c r="D35" s="96">
        <v>431</v>
      </c>
      <c r="E35" s="98"/>
    </row>
    <row r="36" spans="1:5" ht="15.75">
      <c r="A36" s="13">
        <v>38</v>
      </c>
      <c r="B36" s="13"/>
      <c r="C36" s="14" t="s">
        <v>35</v>
      </c>
      <c r="D36" s="96">
        <f>303+28</f>
        <v>331</v>
      </c>
      <c r="E36" s="98"/>
    </row>
    <row r="37" spans="1:7" ht="15.75">
      <c r="A37" s="13">
        <v>41</v>
      </c>
      <c r="B37" s="13"/>
      <c r="C37" s="14" t="s">
        <v>17</v>
      </c>
      <c r="D37" s="96">
        <v>433</v>
      </c>
      <c r="G37" s="66"/>
    </row>
    <row r="38" spans="1:7" ht="15.75">
      <c r="A38" s="13">
        <v>42</v>
      </c>
      <c r="B38" s="13"/>
      <c r="C38" s="14" t="s">
        <v>71</v>
      </c>
      <c r="D38" s="96">
        <v>502</v>
      </c>
      <c r="E38" s="98"/>
      <c r="G38" s="66"/>
    </row>
    <row r="39" spans="1:7" ht="15.75">
      <c r="A39" s="13">
        <v>42</v>
      </c>
      <c r="B39" s="13"/>
      <c r="C39" s="14" t="s">
        <v>72</v>
      </c>
      <c r="D39" s="96">
        <v>805</v>
      </c>
      <c r="E39" s="98"/>
      <c r="G39" s="66"/>
    </row>
    <row r="40" spans="1:7" ht="15.75">
      <c r="A40" s="13">
        <v>64</v>
      </c>
      <c r="B40" s="13"/>
      <c r="C40" s="14" t="s">
        <v>283</v>
      </c>
      <c r="D40" s="96">
        <v>231</v>
      </c>
      <c r="G40" s="66"/>
    </row>
    <row r="41" spans="1:4" ht="15.75">
      <c r="A41" s="13">
        <v>50</v>
      </c>
      <c r="B41" s="13"/>
      <c r="C41" s="14" t="s">
        <v>324</v>
      </c>
      <c r="D41" s="96">
        <v>427</v>
      </c>
    </row>
    <row r="42" spans="1:4" ht="15.75">
      <c r="A42" s="13">
        <v>52</v>
      </c>
      <c r="B42" s="13"/>
      <c r="C42" s="14" t="s">
        <v>18</v>
      </c>
      <c r="D42" s="96">
        <v>446</v>
      </c>
    </row>
    <row r="43" spans="1:4" ht="15.75">
      <c r="A43" s="13">
        <v>55</v>
      </c>
      <c r="B43" s="13"/>
      <c r="C43" s="14" t="s">
        <v>23</v>
      </c>
      <c r="D43" s="96">
        <v>515</v>
      </c>
    </row>
    <row r="44" spans="1:4" ht="15.75">
      <c r="A44" s="13">
        <v>63</v>
      </c>
      <c r="B44" s="13"/>
      <c r="C44" s="14" t="s">
        <v>19</v>
      </c>
      <c r="D44" s="96">
        <v>513</v>
      </c>
    </row>
    <row r="45" spans="1:4" ht="15.75">
      <c r="A45" s="13">
        <v>65</v>
      </c>
      <c r="B45" s="13"/>
      <c r="C45" s="14" t="s">
        <v>49</v>
      </c>
      <c r="D45" s="96">
        <v>26</v>
      </c>
    </row>
    <row r="46" spans="1:4" ht="15.75">
      <c r="A46" s="13">
        <v>67</v>
      </c>
      <c r="B46" s="13"/>
      <c r="C46" s="14" t="s">
        <v>26</v>
      </c>
      <c r="D46" s="96">
        <v>267</v>
      </c>
    </row>
    <row r="47" spans="1:4" ht="15.75">
      <c r="A47" s="13">
        <v>71</v>
      </c>
      <c r="B47" s="13"/>
      <c r="C47" s="14" t="s">
        <v>20</v>
      </c>
      <c r="D47" s="96">
        <v>1517</v>
      </c>
    </row>
    <row r="48" spans="1:5" ht="18" customHeight="1">
      <c r="A48" s="13">
        <v>74</v>
      </c>
      <c r="B48" s="8"/>
      <c r="C48" s="17" t="s">
        <v>76</v>
      </c>
      <c r="D48" s="96">
        <v>375</v>
      </c>
      <c r="E48" s="98"/>
    </row>
    <row r="49" spans="1:7" ht="15.75">
      <c r="A49" s="8">
        <v>74</v>
      </c>
      <c r="B49" s="260"/>
      <c r="C49" s="259" t="s">
        <v>282</v>
      </c>
      <c r="D49" s="286"/>
      <c r="F49" s="102"/>
      <c r="G49" s="102"/>
    </row>
    <row r="50" spans="1:7" s="131" customFormat="1" ht="47.25" customHeight="1">
      <c r="A50" s="914">
        <f>A48</f>
        <v>74</v>
      </c>
      <c r="B50" s="914">
        <v>67</v>
      </c>
      <c r="C50" s="130" t="s">
        <v>335</v>
      </c>
      <c r="D50" s="917">
        <v>100</v>
      </c>
      <c r="F50" s="261"/>
      <c r="G50" s="261"/>
    </row>
    <row r="51" spans="1:7" s="131" customFormat="1" ht="61.5" customHeight="1">
      <c r="A51" s="915"/>
      <c r="B51" s="915"/>
      <c r="C51" s="130" t="s">
        <v>284</v>
      </c>
      <c r="D51" s="918"/>
      <c r="F51" s="261"/>
      <c r="G51" s="261"/>
    </row>
    <row r="52" spans="1:7" s="131" customFormat="1" ht="46.5" customHeight="1">
      <c r="A52" s="916"/>
      <c r="B52" s="916"/>
      <c r="C52" s="130" t="s">
        <v>285</v>
      </c>
      <c r="D52" s="919"/>
      <c r="F52" s="261"/>
      <c r="G52" s="261"/>
    </row>
    <row r="53" spans="1:7" s="131" customFormat="1" ht="63.75" customHeight="1">
      <c r="A53" s="262">
        <v>74</v>
      </c>
      <c r="B53" s="262">
        <v>70</v>
      </c>
      <c r="C53" s="130" t="s">
        <v>286</v>
      </c>
      <c r="D53" s="287">
        <v>100</v>
      </c>
      <c r="F53" s="261"/>
      <c r="G53" s="261"/>
    </row>
    <row r="54" spans="1:7" ht="15.75">
      <c r="A54" s="13">
        <f>A48</f>
        <v>74</v>
      </c>
      <c r="B54" s="13"/>
      <c r="C54" s="14" t="s">
        <v>287</v>
      </c>
      <c r="D54" s="96">
        <v>749</v>
      </c>
      <c r="F54" s="102"/>
      <c r="G54" s="102"/>
    </row>
    <row r="55" spans="1:7" ht="15.75">
      <c r="A55" s="13">
        <v>77</v>
      </c>
      <c r="B55" s="13"/>
      <c r="C55" s="18" t="s">
        <v>46</v>
      </c>
      <c r="D55" s="288">
        <v>587</v>
      </c>
      <c r="F55" s="102"/>
      <c r="G55" s="102"/>
    </row>
    <row r="56" spans="1:7" ht="15.75">
      <c r="A56" s="19">
        <v>80</v>
      </c>
      <c r="B56" s="19"/>
      <c r="C56" s="18" t="s">
        <v>28</v>
      </c>
      <c r="D56" s="96">
        <v>2262</v>
      </c>
      <c r="E56" s="98"/>
      <c r="F56" s="102"/>
      <c r="G56" s="102"/>
    </row>
    <row r="57" spans="1:7" ht="15.75">
      <c r="A57" s="8">
        <v>82</v>
      </c>
      <c r="B57" s="19"/>
      <c r="C57" s="18" t="s">
        <v>63</v>
      </c>
      <c r="D57" s="96">
        <v>40</v>
      </c>
      <c r="F57" s="102"/>
      <c r="G57" s="102"/>
    </row>
    <row r="58" spans="1:7" ht="15.75">
      <c r="A58" s="15">
        <v>84</v>
      </c>
      <c r="B58" s="15"/>
      <c r="C58" s="16" t="s">
        <v>37</v>
      </c>
      <c r="D58" s="97">
        <v>100</v>
      </c>
      <c r="F58" s="102"/>
      <c r="G58" s="102"/>
    </row>
    <row r="59" spans="1:7" ht="16.5" thickBot="1">
      <c r="A59" s="20">
        <v>85</v>
      </c>
      <c r="B59" s="20"/>
      <c r="C59" s="17" t="s">
        <v>21</v>
      </c>
      <c r="D59" s="289">
        <v>231</v>
      </c>
      <c r="F59" s="102"/>
      <c r="G59" s="102"/>
    </row>
    <row r="60" spans="1:11" ht="16.5" thickTop="1">
      <c r="A60" s="21"/>
      <c r="B60" s="21"/>
      <c r="C60" s="22" t="s">
        <v>161</v>
      </c>
      <c r="D60" s="99">
        <f>SUM(D54:D59)+SUM(D31:D48)+SUM(D8:D18)</f>
        <v>15746</v>
      </c>
      <c r="E60" s="100">
        <v>15746</v>
      </c>
      <c r="F60" s="101">
        <f>E60-D60</f>
        <v>0</v>
      </c>
      <c r="G60" s="101"/>
      <c r="H60" s="101"/>
      <c r="I60" s="102"/>
      <c r="J60" s="102"/>
      <c r="K60" s="102"/>
    </row>
    <row r="61" spans="1:11" ht="15.75">
      <c r="A61" s="263">
        <f>A38</f>
        <v>42</v>
      </c>
      <c r="B61" s="263"/>
      <c r="C61" s="264" t="s">
        <v>158</v>
      </c>
      <c r="D61" s="120">
        <f>D38+D39+D40</f>
        <v>1538</v>
      </c>
      <c r="E61" s="100">
        <f>SUM(D8:D18,D31:D48,D54:D59)</f>
        <v>15746</v>
      </c>
      <c r="F61" s="101"/>
      <c r="G61" s="101"/>
      <c r="H61" s="101"/>
      <c r="I61" s="102"/>
      <c r="J61" s="102"/>
      <c r="K61" s="102"/>
    </row>
    <row r="62" spans="1:11" ht="15.75">
      <c r="A62" s="263"/>
      <c r="B62" s="263"/>
      <c r="C62" s="264" t="s">
        <v>163</v>
      </c>
      <c r="D62" s="120">
        <f>D31+D32+D33</f>
        <v>621</v>
      </c>
      <c r="E62" s="100"/>
      <c r="F62" s="101"/>
      <c r="G62" s="101"/>
      <c r="H62" s="101"/>
      <c r="I62" s="102"/>
      <c r="J62" s="102"/>
      <c r="K62" s="102"/>
    </row>
    <row r="63" spans="1:11" s="106" customFormat="1" ht="16.5" thickBot="1">
      <c r="A63" s="23"/>
      <c r="B63" s="23"/>
      <c r="C63" s="92" t="s">
        <v>157</v>
      </c>
      <c r="D63" s="103">
        <f>SUM(D50:D53)+SUM(D19:D30)</f>
        <v>472</v>
      </c>
      <c r="E63" s="95"/>
      <c r="F63" s="104"/>
      <c r="G63" s="104"/>
      <c r="H63" s="104"/>
      <c r="I63" s="105"/>
      <c r="J63" s="105"/>
      <c r="K63" s="105"/>
    </row>
    <row r="64" spans="2:11" ht="17.25" hidden="1" thickBot="1" thickTop="1">
      <c r="B64" s="911"/>
      <c r="C64" s="912"/>
      <c r="D64" s="912"/>
      <c r="F64" s="102"/>
      <c r="G64" s="102"/>
      <c r="H64" s="102"/>
      <c r="I64" s="102"/>
      <c r="J64" s="102"/>
      <c r="K64" s="102"/>
    </row>
    <row r="65" spans="1:11" ht="17.25" hidden="1" thickBot="1" thickTop="1">
      <c r="A65" s="24"/>
      <c r="B65" s="24"/>
      <c r="C65" s="25"/>
      <c r="D65" s="24"/>
      <c r="F65" s="102"/>
      <c r="G65" s="102"/>
      <c r="H65" s="102"/>
      <c r="I65" s="102"/>
      <c r="J65" s="102"/>
      <c r="K65" s="102"/>
    </row>
    <row r="66" spans="1:11" s="107" customFormat="1" ht="17.25" hidden="1" thickBot="1" thickTop="1">
      <c r="A66" s="68"/>
      <c r="B66" s="68"/>
      <c r="C66" s="85"/>
      <c r="D66" s="68"/>
      <c r="F66" s="102"/>
      <c r="G66" s="108"/>
      <c r="H66" s="108"/>
      <c r="I66" s="108"/>
      <c r="J66" s="108"/>
      <c r="K66" s="108"/>
    </row>
    <row r="67" spans="1:11" ht="20.25" customHeight="1" hidden="1">
      <c r="A67" s="15"/>
      <c r="B67" s="15"/>
      <c r="C67" s="16"/>
      <c r="D67" s="15"/>
      <c r="F67" s="102"/>
      <c r="G67" s="102"/>
      <c r="H67" s="102"/>
      <c r="I67" s="102"/>
      <c r="J67" s="102"/>
      <c r="K67" s="102"/>
    </row>
    <row r="68" spans="1:11" ht="17.25" hidden="1" thickBot="1" thickTop="1">
      <c r="A68" s="84"/>
      <c r="B68" s="84"/>
      <c r="C68" s="14"/>
      <c r="D68" s="13"/>
      <c r="F68" s="102"/>
      <c r="G68" s="102"/>
      <c r="H68" s="102"/>
      <c r="I68" s="102"/>
      <c r="J68" s="102"/>
      <c r="K68" s="102"/>
    </row>
    <row r="69" spans="1:11" ht="17.25" hidden="1" thickBot="1" thickTop="1">
      <c r="A69" s="21"/>
      <c r="B69" s="21"/>
      <c r="C69" s="22"/>
      <c r="D69" s="129"/>
      <c r="E69" s="100"/>
      <c r="F69" s="101"/>
      <c r="G69" s="101"/>
      <c r="H69" s="101"/>
      <c r="I69" s="102"/>
      <c r="J69" s="102"/>
      <c r="K69" s="102"/>
    </row>
    <row r="70" spans="1:11" ht="17.25" hidden="1" thickBot="1" thickTop="1">
      <c r="A70" s="126"/>
      <c r="B70" s="126"/>
      <c r="C70" s="127"/>
      <c r="D70" s="128"/>
      <c r="E70" s="100"/>
      <c r="F70" s="101"/>
      <c r="G70" s="101"/>
      <c r="H70" s="101"/>
      <c r="I70" s="102"/>
      <c r="J70" s="102"/>
      <c r="K70" s="102"/>
    </row>
    <row r="71" spans="1:11" ht="22.5" customHeight="1" hidden="1" thickBot="1" thickTop="1">
      <c r="A71" s="912"/>
      <c r="B71" s="912"/>
      <c r="C71" s="912"/>
      <c r="D71" s="912"/>
      <c r="F71" s="102"/>
      <c r="G71" s="102"/>
      <c r="H71" s="102"/>
      <c r="I71" s="102"/>
      <c r="J71" s="102"/>
      <c r="K71" s="102"/>
    </row>
    <row r="72" spans="1:7" ht="16.5" hidden="1" thickTop="1">
      <c r="A72" s="29"/>
      <c r="B72" s="29"/>
      <c r="C72" s="30"/>
      <c r="D72" s="110"/>
      <c r="F72" s="102"/>
      <c r="G72" s="102"/>
    </row>
    <row r="73" spans="1:7" ht="15.75" hidden="1">
      <c r="A73" s="29"/>
      <c r="B73" s="29"/>
      <c r="C73" s="30"/>
      <c r="D73" s="110"/>
      <c r="F73" s="102"/>
      <c r="G73" s="102"/>
    </row>
    <row r="74" spans="1:7" ht="15.75" hidden="1">
      <c r="A74" s="36"/>
      <c r="B74" s="36"/>
      <c r="C74" s="37"/>
      <c r="D74" s="159"/>
      <c r="F74" s="102"/>
      <c r="G74" s="102"/>
    </row>
    <row r="75" spans="1:7" ht="15.75" hidden="1">
      <c r="A75" s="36"/>
      <c r="B75" s="36"/>
      <c r="C75" s="37"/>
      <c r="D75" s="159"/>
      <c r="F75" s="102"/>
      <c r="G75" s="102"/>
    </row>
    <row r="76" spans="1:7" ht="15.75" hidden="1">
      <c r="A76" s="29"/>
      <c r="B76" s="29"/>
      <c r="C76" s="30"/>
      <c r="D76" s="110"/>
      <c r="F76" s="102"/>
      <c r="G76" s="102"/>
    </row>
    <row r="77" spans="1:7" ht="15.75" hidden="1">
      <c r="A77" s="29"/>
      <c r="B77" s="29"/>
      <c r="C77" s="30"/>
      <c r="D77" s="110"/>
      <c r="F77" s="102"/>
      <c r="G77" s="102"/>
    </row>
    <row r="78" spans="1:7" ht="15.75" hidden="1">
      <c r="A78" s="29"/>
      <c r="B78" s="29"/>
      <c r="C78" s="30"/>
      <c r="D78" s="110"/>
      <c r="F78" s="102"/>
      <c r="G78" s="102"/>
    </row>
    <row r="79" spans="1:7" ht="15.75" hidden="1">
      <c r="A79" s="29"/>
      <c r="B79" s="29"/>
      <c r="C79" s="30"/>
      <c r="D79" s="110"/>
      <c r="F79" s="102"/>
      <c r="G79" s="102"/>
    </row>
    <row r="80" spans="1:7" ht="15.75" hidden="1">
      <c r="A80" s="29"/>
      <c r="B80" s="29"/>
      <c r="C80" s="30"/>
      <c r="D80" s="110"/>
      <c r="F80" s="102"/>
      <c r="G80" s="102"/>
    </row>
    <row r="81" spans="1:7" ht="15.75" hidden="1">
      <c r="A81" s="29"/>
      <c r="B81" s="29"/>
      <c r="C81" s="30"/>
      <c r="D81" s="110"/>
      <c r="F81" s="102"/>
      <c r="G81" s="102"/>
    </row>
    <row r="82" spans="1:7" ht="15.75" hidden="1">
      <c r="A82" s="29"/>
      <c r="B82" s="29"/>
      <c r="C82" s="30"/>
      <c r="D82" s="110"/>
      <c r="E82" s="98"/>
      <c r="F82" s="102"/>
      <c r="G82" s="102"/>
    </row>
    <row r="83" spans="1:7" ht="15.75" hidden="1">
      <c r="A83" s="29"/>
      <c r="B83" s="29"/>
      <c r="C83" s="30"/>
      <c r="D83" s="110"/>
      <c r="F83" s="102"/>
      <c r="G83" s="102"/>
    </row>
    <row r="84" spans="1:7" ht="16.5" hidden="1" thickBot="1">
      <c r="A84" s="29"/>
      <c r="B84" s="29"/>
      <c r="C84" s="30"/>
      <c r="D84" s="110"/>
      <c r="F84" s="102"/>
      <c r="G84" s="102"/>
    </row>
    <row r="85" spans="1:8" ht="17.25" hidden="1" thickBot="1" thickTop="1">
      <c r="A85" s="31"/>
      <c r="B85" s="31"/>
      <c r="C85" s="32"/>
      <c r="D85" s="111"/>
      <c r="E85" s="100"/>
      <c r="F85" s="101"/>
      <c r="G85" s="101"/>
      <c r="H85" s="100"/>
    </row>
    <row r="86" spans="1:7" s="751" customFormat="1" ht="17.25" customHeight="1" thickBot="1" thickTop="1">
      <c r="A86" s="913" t="s">
        <v>584</v>
      </c>
      <c r="B86" s="913"/>
      <c r="C86" s="913"/>
      <c r="D86" s="913"/>
      <c r="F86" s="752"/>
      <c r="G86" s="752"/>
    </row>
    <row r="87" spans="1:7" ht="16.5" thickTop="1">
      <c r="A87" s="33">
        <v>3</v>
      </c>
      <c r="B87" s="33"/>
      <c r="C87" s="34" t="s">
        <v>73</v>
      </c>
      <c r="D87" s="24">
        <v>250</v>
      </c>
      <c r="F87" s="102"/>
      <c r="G87" s="101"/>
    </row>
    <row r="88" spans="1:7" s="107" customFormat="1" ht="15.75">
      <c r="A88" s="35">
        <v>6</v>
      </c>
      <c r="B88" s="35"/>
      <c r="C88" s="30" t="s">
        <v>212</v>
      </c>
      <c r="D88" s="15">
        <v>1445</v>
      </c>
      <c r="E88" s="95"/>
      <c r="F88" s="209"/>
      <c r="G88" s="210"/>
    </row>
    <row r="89" spans="1:7" ht="15.75">
      <c r="A89" s="29">
        <v>4</v>
      </c>
      <c r="B89" s="29"/>
      <c r="C89" s="30" t="s">
        <v>210</v>
      </c>
      <c r="D89" s="15">
        <v>904</v>
      </c>
      <c r="F89" s="102"/>
      <c r="G89" s="101"/>
    </row>
    <row r="90" spans="1:7" ht="15.75">
      <c r="A90" s="36">
        <v>5</v>
      </c>
      <c r="B90" s="36"/>
      <c r="C90" s="37" t="s">
        <v>211</v>
      </c>
      <c r="D90" s="13">
        <v>826</v>
      </c>
      <c r="F90" s="102"/>
      <c r="G90" s="101"/>
    </row>
    <row r="91" spans="1:7" ht="15.75">
      <c r="A91" s="36">
        <v>39</v>
      </c>
      <c r="B91" s="36"/>
      <c r="C91" s="37" t="s">
        <v>588</v>
      </c>
      <c r="D91" s="13">
        <f>155+271</f>
        <v>426</v>
      </c>
      <c r="F91" s="102"/>
      <c r="G91" s="101"/>
    </row>
    <row r="92" spans="1:7" ht="15.75">
      <c r="A92" s="29">
        <v>22</v>
      </c>
      <c r="B92" s="29"/>
      <c r="C92" s="30" t="s">
        <v>32</v>
      </c>
      <c r="D92" s="110">
        <v>149</v>
      </c>
      <c r="F92" s="102"/>
      <c r="G92" s="101"/>
    </row>
    <row r="93" spans="1:7" ht="15.75">
      <c r="A93" s="29">
        <v>19</v>
      </c>
      <c r="B93" s="29"/>
      <c r="C93" s="30" t="s">
        <v>586</v>
      </c>
      <c r="D93" s="110">
        <v>50</v>
      </c>
      <c r="F93" s="102"/>
      <c r="G93" s="101"/>
    </row>
    <row r="94" spans="1:7" ht="15.75">
      <c r="A94" s="36">
        <v>21</v>
      </c>
      <c r="B94" s="36"/>
      <c r="C94" s="37" t="s">
        <v>587</v>
      </c>
      <c r="D94" s="110">
        <v>110</v>
      </c>
      <c r="F94" s="102"/>
      <c r="G94" s="101"/>
    </row>
    <row r="95" spans="1:7" ht="15.75">
      <c r="A95" s="36">
        <v>23</v>
      </c>
      <c r="B95" s="36"/>
      <c r="C95" s="37" t="s">
        <v>585</v>
      </c>
      <c r="D95" s="110">
        <v>43</v>
      </c>
      <c r="F95" s="102"/>
      <c r="G95" s="101"/>
    </row>
    <row r="96" spans="1:7" ht="15.75">
      <c r="A96" s="29">
        <v>24</v>
      </c>
      <c r="B96" s="29"/>
      <c r="C96" s="30" t="s">
        <v>27</v>
      </c>
      <c r="D96" s="110">
        <v>993</v>
      </c>
      <c r="F96" s="102"/>
      <c r="G96" s="101"/>
    </row>
    <row r="97" spans="1:7" ht="15.75">
      <c r="A97" s="29">
        <v>30</v>
      </c>
      <c r="B97" s="29"/>
      <c r="C97" s="30" t="s">
        <v>65</v>
      </c>
      <c r="D97" s="110">
        <v>63</v>
      </c>
      <c r="F97" s="102"/>
      <c r="G97" s="101"/>
    </row>
    <row r="98" spans="1:7" ht="15.75">
      <c r="A98" s="29">
        <v>34</v>
      </c>
      <c r="B98" s="29"/>
      <c r="C98" s="30" t="s">
        <v>29</v>
      </c>
      <c r="D98" s="110">
        <v>180</v>
      </c>
      <c r="F98" s="102"/>
      <c r="G98" s="101"/>
    </row>
    <row r="99" spans="1:7" ht="15.75">
      <c r="A99" s="29">
        <v>38</v>
      </c>
      <c r="B99" s="29"/>
      <c r="C99" s="30" t="s">
        <v>35</v>
      </c>
      <c r="D99" s="110">
        <v>80</v>
      </c>
      <c r="F99" s="102"/>
      <c r="G99" s="101"/>
    </row>
    <row r="100" spans="1:7" ht="15.75">
      <c r="A100" s="29">
        <v>63</v>
      </c>
      <c r="B100" s="29"/>
      <c r="C100" s="30" t="s">
        <v>19</v>
      </c>
      <c r="D100" s="110">
        <v>54</v>
      </c>
      <c r="F100" s="102"/>
      <c r="G100" s="101"/>
    </row>
    <row r="101" spans="1:7" ht="15.75">
      <c r="A101" s="29">
        <v>55</v>
      </c>
      <c r="B101" s="29"/>
      <c r="C101" s="30" t="s">
        <v>23</v>
      </c>
      <c r="D101" s="110">
        <v>617</v>
      </c>
      <c r="F101" s="102"/>
      <c r="G101" s="101"/>
    </row>
    <row r="102" spans="1:7" ht="15.75">
      <c r="A102" s="29">
        <v>74</v>
      </c>
      <c r="B102" s="29"/>
      <c r="C102" s="30" t="s">
        <v>62</v>
      </c>
      <c r="D102" s="110">
        <v>110</v>
      </c>
      <c r="F102" s="102"/>
      <c r="G102" s="101"/>
    </row>
    <row r="103" spans="1:7" ht="15.75">
      <c r="A103" s="29">
        <v>82</v>
      </c>
      <c r="B103" s="29"/>
      <c r="C103" s="30" t="s">
        <v>63</v>
      </c>
      <c r="D103" s="110">
        <v>20</v>
      </c>
      <c r="F103" s="102"/>
      <c r="G103" s="101"/>
    </row>
    <row r="104" spans="1:8" ht="16.5" thickBot="1">
      <c r="A104" s="39"/>
      <c r="B104" s="39"/>
      <c r="C104" s="40" t="s">
        <v>6</v>
      </c>
      <c r="D104" s="114">
        <f>SUM(D87:D103)</f>
        <v>6320</v>
      </c>
      <c r="E104" s="100"/>
      <c r="F104" s="101"/>
      <c r="G104" s="101"/>
      <c r="H104" s="100"/>
    </row>
    <row r="105" spans="2:7" ht="17.25" hidden="1" thickBot="1" thickTop="1">
      <c r="B105" s="911"/>
      <c r="C105" s="912"/>
      <c r="D105" s="912"/>
      <c r="F105" s="102"/>
      <c r="G105" s="102"/>
    </row>
    <row r="106" spans="1:7" ht="17.25" hidden="1" thickBot="1" thickTop="1">
      <c r="A106" s="41"/>
      <c r="B106" s="41"/>
      <c r="C106" s="42"/>
      <c r="D106" s="115"/>
      <c r="F106" s="102"/>
      <c r="G106" s="102"/>
    </row>
    <row r="107" spans="1:8" ht="17.25" hidden="1" thickBot="1" thickTop="1">
      <c r="A107" s="39"/>
      <c r="B107" s="39"/>
      <c r="C107" s="40"/>
      <c r="D107" s="114"/>
      <c r="F107" s="101"/>
      <c r="G107" s="101"/>
      <c r="H107" s="100"/>
    </row>
    <row r="108" spans="2:7" ht="17.25" hidden="1" thickBot="1" thickTop="1">
      <c r="B108" s="911"/>
      <c r="C108" s="912"/>
      <c r="D108" s="912"/>
      <c r="F108" s="102"/>
      <c r="G108" s="102"/>
    </row>
    <row r="109" spans="1:7" ht="17.25" hidden="1" thickBot="1" thickTop="1">
      <c r="A109" s="33"/>
      <c r="B109" s="33"/>
      <c r="C109" s="48"/>
      <c r="D109" s="24"/>
      <c r="F109" s="102"/>
      <c r="G109" s="102"/>
    </row>
    <row r="110" spans="1:7" ht="17.25" hidden="1" thickBot="1" thickTop="1">
      <c r="A110" s="36"/>
      <c r="B110" s="36"/>
      <c r="C110" s="49"/>
      <c r="D110" s="13"/>
      <c r="F110" s="66"/>
      <c r="G110" s="102"/>
    </row>
    <row r="111" spans="1:7" ht="17.25" hidden="1" thickBot="1" thickTop="1">
      <c r="A111" s="36"/>
      <c r="B111" s="36"/>
      <c r="C111" s="49"/>
      <c r="D111" s="13"/>
      <c r="F111" s="66"/>
      <c r="G111" s="102"/>
    </row>
    <row r="112" spans="1:7" s="107" customFormat="1" ht="17.25" hidden="1" thickBot="1" thickTop="1">
      <c r="A112" s="50"/>
      <c r="B112" s="50"/>
      <c r="C112" s="49"/>
      <c r="D112" s="13"/>
      <c r="E112" s="95"/>
      <c r="F112" s="108"/>
      <c r="G112" s="108"/>
    </row>
    <row r="113" spans="1:7" ht="17.25" hidden="1" thickBot="1" thickTop="1">
      <c r="A113" s="36"/>
      <c r="B113" s="36"/>
      <c r="C113" s="49"/>
      <c r="D113" s="13"/>
      <c r="F113" s="102"/>
      <c r="G113" s="102"/>
    </row>
    <row r="114" spans="1:7" ht="17.25" hidden="1" thickBot="1" thickTop="1">
      <c r="A114" s="36"/>
      <c r="B114" s="36"/>
      <c r="C114" s="49"/>
      <c r="D114" s="13"/>
      <c r="E114" s="98"/>
      <c r="F114" s="102"/>
      <c r="G114" s="102"/>
    </row>
    <row r="115" spans="1:7" ht="17.25" hidden="1" thickBot="1" thickTop="1">
      <c r="A115" s="38"/>
      <c r="B115" s="38"/>
      <c r="C115" s="51"/>
      <c r="D115" s="59"/>
      <c r="F115" s="102"/>
      <c r="G115" s="102"/>
    </row>
    <row r="116" spans="1:8" ht="17.25" hidden="1" thickBot="1" thickTop="1">
      <c r="A116" s="39"/>
      <c r="B116" s="39"/>
      <c r="C116" s="52"/>
      <c r="D116" s="116"/>
      <c r="F116" s="101"/>
      <c r="G116" s="101"/>
      <c r="H116" s="100"/>
    </row>
    <row r="117" spans="2:7" ht="17.25" hidden="1" thickBot="1" thickTop="1">
      <c r="B117" s="911"/>
      <c r="C117" s="912"/>
      <c r="D117" s="912"/>
      <c r="F117" s="102"/>
      <c r="G117" s="102"/>
    </row>
    <row r="118" spans="1:7" ht="17.25" hidden="1" thickBot="1" thickTop="1">
      <c r="A118" s="29"/>
      <c r="B118" s="29"/>
      <c r="C118" s="30"/>
      <c r="D118" s="15"/>
      <c r="F118" s="102"/>
      <c r="G118" s="102"/>
    </row>
    <row r="119" spans="1:7" ht="17.25" hidden="1" thickBot="1" thickTop="1">
      <c r="A119" s="36"/>
      <c r="B119" s="36"/>
      <c r="C119" s="37"/>
      <c r="D119" s="13"/>
      <c r="F119" s="102"/>
      <c r="G119" s="102"/>
    </row>
    <row r="120" spans="1:7" s="107" customFormat="1" ht="17.25" hidden="1" thickBot="1" thickTop="1">
      <c r="A120" s="50"/>
      <c r="B120" s="50"/>
      <c r="C120" s="37"/>
      <c r="D120" s="13"/>
      <c r="E120" s="95"/>
      <c r="F120" s="66"/>
      <c r="G120" s="108"/>
    </row>
    <row r="121" spans="1:7" ht="17.25" hidden="1" thickBot="1" thickTop="1">
      <c r="A121" s="36"/>
      <c r="B121" s="36"/>
      <c r="C121" s="37"/>
      <c r="D121" s="13"/>
      <c r="F121" s="66"/>
      <c r="G121" s="108"/>
    </row>
    <row r="122" spans="1:7" ht="17.25" hidden="1" thickBot="1" thickTop="1">
      <c r="A122" s="36"/>
      <c r="B122" s="36"/>
      <c r="C122" s="37"/>
      <c r="D122" s="13"/>
      <c r="F122" s="102"/>
      <c r="G122" s="102"/>
    </row>
    <row r="123" spans="1:7" ht="17.25" hidden="1" thickBot="1" thickTop="1">
      <c r="A123" s="36"/>
      <c r="B123" s="36"/>
      <c r="C123" s="37"/>
      <c r="D123" s="13"/>
      <c r="F123" s="102"/>
      <c r="G123" s="102"/>
    </row>
    <row r="124" spans="1:7" ht="17.25" hidden="1" thickBot="1" thickTop="1">
      <c r="A124" s="29"/>
      <c r="B124" s="29"/>
      <c r="C124" s="30"/>
      <c r="D124" s="15"/>
      <c r="F124" s="102"/>
      <c r="G124" s="102"/>
    </row>
    <row r="125" spans="1:7" ht="17.25" hidden="1" thickBot="1" thickTop="1">
      <c r="A125" s="53"/>
      <c r="B125" s="53"/>
      <c r="C125" s="37"/>
      <c r="D125" s="13"/>
      <c r="F125" s="102"/>
      <c r="G125" s="102"/>
    </row>
    <row r="126" spans="1:7" ht="17.25" hidden="1" thickBot="1" thickTop="1">
      <c r="A126" s="54"/>
      <c r="B126" s="54"/>
      <c r="C126" s="46"/>
      <c r="D126" s="20"/>
      <c r="F126" s="102"/>
      <c r="G126" s="102"/>
    </row>
    <row r="127" spans="1:8" ht="17.25" hidden="1" thickBot="1" thickTop="1">
      <c r="A127" s="31"/>
      <c r="B127" s="31"/>
      <c r="C127" s="32"/>
      <c r="D127" s="109"/>
      <c r="F127" s="101"/>
      <c r="G127" s="101"/>
      <c r="H127" s="100"/>
    </row>
    <row r="128" spans="2:7" ht="17.25" hidden="1" thickBot="1" thickTop="1">
      <c r="B128" s="911"/>
      <c r="C128" s="912"/>
      <c r="D128" s="912"/>
      <c r="F128" s="102"/>
      <c r="G128" s="102"/>
    </row>
    <row r="129" spans="1:7" ht="17.25" hidden="1" thickBot="1" thickTop="1">
      <c r="A129" s="33"/>
      <c r="B129" s="33"/>
      <c r="C129" s="48"/>
      <c r="D129" s="24"/>
      <c r="F129" s="102"/>
      <c r="G129" s="102"/>
    </row>
    <row r="130" spans="1:7" ht="17.25" hidden="1" thickBot="1" thickTop="1">
      <c r="A130" s="36"/>
      <c r="B130" s="36"/>
      <c r="C130" s="49"/>
      <c r="D130" s="13"/>
      <c r="F130" s="102"/>
      <c r="G130" s="102"/>
    </row>
    <row r="131" spans="1:7" ht="17.25" hidden="1" thickBot="1" thickTop="1">
      <c r="A131" s="36"/>
      <c r="B131" s="36"/>
      <c r="C131" s="49"/>
      <c r="D131" s="13"/>
      <c r="F131" s="66"/>
      <c r="G131" s="108"/>
    </row>
    <row r="132" spans="1:7" ht="17.25" hidden="1" thickBot="1" thickTop="1">
      <c r="A132" s="36"/>
      <c r="B132" s="36"/>
      <c r="C132" s="49"/>
      <c r="D132" s="13"/>
      <c r="F132" s="66"/>
      <c r="G132" s="108"/>
    </row>
    <row r="133" spans="1:7" ht="17.25" hidden="1" thickBot="1" thickTop="1">
      <c r="A133" s="36"/>
      <c r="B133" s="36"/>
      <c r="C133" s="49"/>
      <c r="D133" s="13"/>
      <c r="F133" s="102"/>
      <c r="G133" s="102"/>
    </row>
    <row r="134" spans="1:7" ht="17.25" hidden="1" thickBot="1" thickTop="1">
      <c r="A134" s="36"/>
      <c r="B134" s="36"/>
      <c r="C134" s="49"/>
      <c r="D134" s="13"/>
      <c r="F134" s="102"/>
      <c r="G134" s="102"/>
    </row>
    <row r="135" spans="1:7" ht="17.25" hidden="1" thickBot="1" thickTop="1">
      <c r="A135" s="44"/>
      <c r="B135" s="44"/>
      <c r="C135" s="37"/>
      <c r="D135" s="20"/>
      <c r="F135" s="102"/>
      <c r="G135" s="102"/>
    </row>
    <row r="136" spans="1:7" ht="17.25" hidden="1" thickBot="1" thickTop="1">
      <c r="A136" s="44"/>
      <c r="B136" s="44"/>
      <c r="C136" s="55"/>
      <c r="D136" s="20"/>
      <c r="F136" s="102"/>
      <c r="G136" s="102"/>
    </row>
    <row r="137" spans="1:8" ht="17.25" hidden="1" thickBot="1" thickTop="1">
      <c r="A137" s="31"/>
      <c r="B137" s="31"/>
      <c r="C137" s="28"/>
      <c r="D137" s="109"/>
      <c r="F137" s="101"/>
      <c r="G137" s="102"/>
      <c r="H137" s="100"/>
    </row>
    <row r="138" spans="2:7" ht="17.25" customHeight="1" hidden="1" thickBot="1" thickTop="1">
      <c r="B138" s="911"/>
      <c r="C138" s="912"/>
      <c r="D138" s="912"/>
      <c r="F138" s="102"/>
      <c r="G138" s="102"/>
    </row>
    <row r="139" spans="1:7" ht="17.25" hidden="1" thickBot="1" thickTop="1">
      <c r="A139" s="21"/>
      <c r="B139" s="21"/>
      <c r="C139" s="34"/>
      <c r="D139" s="24"/>
      <c r="F139" s="102"/>
      <c r="G139" s="102"/>
    </row>
    <row r="140" spans="1:7" ht="17.25" hidden="1" thickBot="1" thickTop="1">
      <c r="A140" s="53"/>
      <c r="B140" s="53"/>
      <c r="C140" s="37"/>
      <c r="D140" s="13"/>
      <c r="F140" s="102"/>
      <c r="G140" s="102"/>
    </row>
    <row r="141" spans="1:7" ht="17.25" hidden="1" thickBot="1" thickTop="1">
      <c r="A141" s="53"/>
      <c r="B141" s="53"/>
      <c r="C141" s="37"/>
      <c r="D141" s="13"/>
      <c r="F141" s="66"/>
      <c r="G141" s="108"/>
    </row>
    <row r="142" spans="1:7" ht="17.25" hidden="1" thickBot="1" thickTop="1">
      <c r="A142" s="36"/>
      <c r="B142" s="36"/>
      <c r="C142" s="37"/>
      <c r="D142" s="13"/>
      <c r="F142" s="66"/>
      <c r="G142" s="108"/>
    </row>
    <row r="143" spans="1:7" ht="17.25" hidden="1" thickBot="1" thickTop="1">
      <c r="A143" s="36"/>
      <c r="B143" s="36"/>
      <c r="C143" s="49"/>
      <c r="D143" s="13"/>
      <c r="F143" s="102"/>
      <c r="G143" s="102"/>
    </row>
    <row r="144" spans="1:7" ht="17.25" hidden="1" thickBot="1" thickTop="1">
      <c r="A144" s="36"/>
      <c r="B144" s="36"/>
      <c r="C144" s="37"/>
      <c r="D144" s="13"/>
      <c r="F144" s="102"/>
      <c r="G144" s="102"/>
    </row>
    <row r="145" spans="1:7" ht="17.25" hidden="1" thickBot="1" thickTop="1">
      <c r="A145" s="36"/>
      <c r="B145" s="36"/>
      <c r="C145" s="37"/>
      <c r="D145" s="13"/>
      <c r="F145" s="102"/>
      <c r="G145" s="102"/>
    </row>
    <row r="146" spans="1:7" ht="17.25" hidden="1" thickBot="1" thickTop="1">
      <c r="A146" s="54"/>
      <c r="B146" s="54"/>
      <c r="C146" s="46"/>
      <c r="D146" s="20"/>
      <c r="F146" s="102"/>
      <c r="G146" s="102"/>
    </row>
    <row r="147" spans="1:12" ht="17.25" hidden="1" thickBot="1" thickTop="1">
      <c r="A147" s="31"/>
      <c r="B147" s="31"/>
      <c r="C147" s="32"/>
      <c r="D147" s="109"/>
      <c r="F147" s="101"/>
      <c r="G147" s="102"/>
      <c r="H147" s="100"/>
      <c r="K147" s="100"/>
      <c r="L147" s="100"/>
    </row>
    <row r="148" spans="2:7" ht="17.25" hidden="1" thickBot="1" thickTop="1">
      <c r="B148" s="911"/>
      <c r="C148" s="912"/>
      <c r="D148" s="912"/>
      <c r="F148" s="102"/>
      <c r="G148" s="102"/>
    </row>
    <row r="149" spans="1:11" ht="17.25" hidden="1" thickBot="1" thickTop="1">
      <c r="A149" s="36"/>
      <c r="B149" s="36"/>
      <c r="C149" s="49"/>
      <c r="D149" s="13"/>
      <c r="F149" s="101"/>
      <c r="G149" s="101"/>
      <c r="H149" s="100"/>
      <c r="I149" s="100"/>
      <c r="J149" s="100"/>
      <c r="K149" s="100"/>
    </row>
    <row r="150" spans="1:7" ht="17.25" hidden="1" thickBot="1" thickTop="1">
      <c r="A150" s="36"/>
      <c r="B150" s="36"/>
      <c r="C150" s="49"/>
      <c r="D150" s="13"/>
      <c r="F150" s="102"/>
      <c r="G150" s="102"/>
    </row>
    <row r="151" spans="1:7" ht="17.25" hidden="1" thickBot="1" thickTop="1">
      <c r="A151" s="36"/>
      <c r="B151" s="36"/>
      <c r="C151" s="49"/>
      <c r="D151" s="13"/>
      <c r="F151" s="102"/>
      <c r="G151" s="102"/>
    </row>
    <row r="152" spans="1:10" ht="17.25" hidden="1" thickBot="1" thickTop="1">
      <c r="A152" s="36"/>
      <c r="B152" s="36"/>
      <c r="C152" s="49"/>
      <c r="D152" s="13"/>
      <c r="F152" s="102"/>
      <c r="G152" s="102"/>
      <c r="I152" s="100"/>
      <c r="J152" s="100"/>
    </row>
    <row r="153" spans="1:10" ht="17.25" hidden="1" thickBot="1" thickTop="1">
      <c r="A153" s="36"/>
      <c r="B153" s="36"/>
      <c r="C153" s="49"/>
      <c r="D153" s="13"/>
      <c r="F153" s="102"/>
      <c r="G153" s="102"/>
      <c r="I153" s="100"/>
      <c r="J153" s="100"/>
    </row>
    <row r="154" spans="1:7" ht="17.25" hidden="1" thickBot="1" thickTop="1">
      <c r="A154" s="36"/>
      <c r="B154" s="36"/>
      <c r="C154" s="49"/>
      <c r="D154" s="13"/>
      <c r="F154" s="102"/>
      <c r="G154" s="102"/>
    </row>
    <row r="155" spans="1:7" ht="17.25" hidden="1" thickBot="1" thickTop="1">
      <c r="A155" s="29"/>
      <c r="B155" s="29"/>
      <c r="C155" s="56"/>
      <c r="D155" s="15"/>
      <c r="F155" s="102"/>
      <c r="G155" s="102"/>
    </row>
    <row r="156" spans="1:7" ht="17.25" hidden="1" thickBot="1" thickTop="1">
      <c r="A156" s="36"/>
      <c r="B156" s="36"/>
      <c r="C156" s="49"/>
      <c r="D156" s="13"/>
      <c r="F156" s="102"/>
      <c r="G156" s="102"/>
    </row>
    <row r="157" spans="1:10" ht="17.25" hidden="1" thickBot="1" thickTop="1">
      <c r="A157" s="38"/>
      <c r="B157" s="38"/>
      <c r="C157" s="51"/>
      <c r="D157" s="59"/>
      <c r="F157" s="101"/>
      <c r="G157" s="102"/>
      <c r="J157" s="100"/>
    </row>
    <row r="158" spans="1:10" ht="17.25" hidden="1" thickBot="1" thickTop="1">
      <c r="A158" s="39"/>
      <c r="B158" s="39"/>
      <c r="C158" s="52"/>
      <c r="D158" s="114"/>
      <c r="F158" s="101"/>
      <c r="G158" s="101"/>
      <c r="H158" s="100"/>
      <c r="I158" s="100"/>
      <c r="J158" s="100"/>
    </row>
    <row r="159" spans="2:7" ht="17.25" hidden="1" thickBot="1" thickTop="1">
      <c r="B159" s="911"/>
      <c r="C159" s="912"/>
      <c r="D159" s="912"/>
      <c r="F159" s="102"/>
      <c r="G159" s="102"/>
    </row>
    <row r="160" spans="1:7" ht="17.25" hidden="1" thickBot="1" thickTop="1">
      <c r="A160" s="33"/>
      <c r="B160" s="33"/>
      <c r="C160" s="34"/>
      <c r="D160" s="212"/>
      <c r="F160" s="102"/>
      <c r="G160" s="102"/>
    </row>
    <row r="161" spans="1:7" ht="17.25" hidden="1" thickBot="1" thickTop="1">
      <c r="A161" s="29"/>
      <c r="B161" s="29"/>
      <c r="C161" s="30"/>
      <c r="D161" s="97"/>
      <c r="F161" s="102"/>
      <c r="G161" s="102"/>
    </row>
    <row r="162" spans="1:7" ht="17.25" hidden="1" thickBot="1" thickTop="1">
      <c r="A162" s="36"/>
      <c r="B162" s="36"/>
      <c r="C162" s="37"/>
      <c r="D162" s="96"/>
      <c r="F162" s="102"/>
      <c r="G162" s="102"/>
    </row>
    <row r="163" spans="1:7" ht="17.25" hidden="1" thickBot="1" thickTop="1">
      <c r="A163" s="36"/>
      <c r="B163" s="36"/>
      <c r="C163" s="30"/>
      <c r="D163" s="96"/>
      <c r="F163" s="102"/>
      <c r="G163" s="102"/>
    </row>
    <row r="164" spans="1:7" ht="17.25" hidden="1" thickBot="1" thickTop="1">
      <c r="A164" s="36"/>
      <c r="B164" s="36"/>
      <c r="C164" s="37"/>
      <c r="D164" s="96"/>
      <c r="F164" s="102"/>
      <c r="G164" s="102"/>
    </row>
    <row r="165" spans="1:7" ht="17.25" hidden="1" thickBot="1" thickTop="1">
      <c r="A165" s="36"/>
      <c r="B165" s="36"/>
      <c r="C165" s="37"/>
      <c r="D165" s="96"/>
      <c r="F165" s="102"/>
      <c r="G165" s="102"/>
    </row>
    <row r="166" spans="1:7" ht="17.25" hidden="1" thickBot="1" thickTop="1">
      <c r="A166" s="36"/>
      <c r="B166" s="36"/>
      <c r="C166" s="37"/>
      <c r="D166" s="117"/>
      <c r="F166" s="102"/>
      <c r="G166" s="102"/>
    </row>
    <row r="167" spans="1:7" ht="17.25" hidden="1" thickBot="1" thickTop="1">
      <c r="A167" s="36"/>
      <c r="B167" s="36"/>
      <c r="C167" s="37"/>
      <c r="D167" s="96"/>
      <c r="F167" s="102"/>
      <c r="G167" s="102"/>
    </row>
    <row r="168" spans="1:7" ht="17.25" hidden="1" thickBot="1" thickTop="1">
      <c r="A168" s="50"/>
      <c r="B168" s="50"/>
      <c r="C168" s="49"/>
      <c r="D168" s="96"/>
      <c r="F168" s="102"/>
      <c r="G168" s="102"/>
    </row>
    <row r="169" spans="1:7" ht="17.25" hidden="1" thickBot="1" thickTop="1">
      <c r="A169" s="36"/>
      <c r="B169" s="36"/>
      <c r="C169" s="37"/>
      <c r="D169" s="96"/>
      <c r="F169" s="102"/>
      <c r="G169" s="102"/>
    </row>
    <row r="170" spans="1:7" ht="17.25" hidden="1" thickBot="1" thickTop="1">
      <c r="A170" s="36"/>
      <c r="B170" s="36"/>
      <c r="C170" s="37"/>
      <c r="D170" s="96"/>
      <c r="F170" s="102"/>
      <c r="G170" s="102"/>
    </row>
    <row r="171" spans="1:7" ht="17.25" hidden="1" thickBot="1" thickTop="1">
      <c r="A171" s="44"/>
      <c r="B171" s="44"/>
      <c r="C171" s="46"/>
      <c r="D171" s="117"/>
      <c r="F171" s="102"/>
      <c r="G171" s="102"/>
    </row>
    <row r="172" spans="1:12" ht="17.25" hidden="1" thickBot="1" thickTop="1">
      <c r="A172" s="31"/>
      <c r="B172" s="31"/>
      <c r="C172" s="32"/>
      <c r="D172" s="118"/>
      <c r="F172" s="101"/>
      <c r="G172" s="101"/>
      <c r="H172" s="100"/>
      <c r="K172" s="100"/>
      <c r="L172" s="100"/>
    </row>
    <row r="173" spans="2:7" ht="17.25" hidden="1" thickBot="1" thickTop="1">
      <c r="B173" s="911"/>
      <c r="C173" s="912"/>
      <c r="D173" s="912"/>
      <c r="F173" s="102"/>
      <c r="G173" s="102"/>
    </row>
    <row r="174" spans="1:7" ht="17.25" hidden="1" thickBot="1" thickTop="1">
      <c r="A174" s="36"/>
      <c r="B174" s="36"/>
      <c r="C174" s="49"/>
      <c r="D174" s="13"/>
      <c r="F174" s="102"/>
      <c r="G174" s="102"/>
    </row>
    <row r="175" spans="1:7" ht="17.25" hidden="1" thickBot="1" thickTop="1">
      <c r="A175" s="36"/>
      <c r="B175" s="36"/>
      <c r="C175" s="49"/>
      <c r="D175" s="13"/>
      <c r="F175" s="102"/>
      <c r="G175" s="102"/>
    </row>
    <row r="176" spans="1:7" ht="17.25" hidden="1" thickBot="1" thickTop="1">
      <c r="A176" s="36"/>
      <c r="B176" s="36"/>
      <c r="C176" s="49"/>
      <c r="D176" s="13"/>
      <c r="F176" s="102"/>
      <c r="G176" s="102"/>
    </row>
    <row r="177" spans="1:7" ht="17.25" hidden="1" thickBot="1" thickTop="1">
      <c r="A177" s="36"/>
      <c r="B177" s="36"/>
      <c r="C177" s="49"/>
      <c r="D177" s="13"/>
      <c r="F177" s="102"/>
      <c r="G177" s="102"/>
    </row>
    <row r="178" spans="1:7" ht="17.25" hidden="1" thickBot="1" thickTop="1">
      <c r="A178" s="36"/>
      <c r="B178" s="36"/>
      <c r="C178" s="49"/>
      <c r="D178" s="13"/>
      <c r="F178" s="102"/>
      <c r="G178" s="102"/>
    </row>
    <row r="179" spans="1:4" ht="17.25" hidden="1" thickBot="1" thickTop="1">
      <c r="A179" s="29"/>
      <c r="B179" s="29"/>
      <c r="C179" s="56"/>
      <c r="D179" s="15"/>
    </row>
    <row r="180" spans="1:4" ht="17.25" hidden="1" thickBot="1" thickTop="1">
      <c r="A180" s="44"/>
      <c r="B180" s="44"/>
      <c r="C180" s="49"/>
      <c r="D180" s="20"/>
    </row>
    <row r="181" spans="1:4" ht="17.25" hidden="1" thickBot="1" thickTop="1">
      <c r="A181" s="36"/>
      <c r="B181" s="36"/>
      <c r="C181" s="49"/>
      <c r="D181" s="13"/>
    </row>
    <row r="182" spans="1:4" ht="17.25" hidden="1" thickBot="1" thickTop="1">
      <c r="A182" s="59"/>
      <c r="B182" s="59"/>
      <c r="C182" s="60"/>
      <c r="D182" s="59"/>
    </row>
    <row r="183" spans="1:12" ht="17.25" hidden="1" thickBot="1" thickTop="1">
      <c r="A183" s="31"/>
      <c r="B183" s="31"/>
      <c r="C183" s="28"/>
      <c r="D183" s="109"/>
      <c r="F183" s="100"/>
      <c r="G183" s="100"/>
      <c r="H183" s="100"/>
      <c r="K183" s="100"/>
      <c r="L183" s="100"/>
    </row>
    <row r="184" spans="2:12" ht="17.25" hidden="1" thickBot="1" thickTop="1">
      <c r="B184" s="911"/>
      <c r="C184" s="912"/>
      <c r="D184" s="912"/>
      <c r="F184" s="100"/>
      <c r="G184" s="100"/>
      <c r="H184" s="100"/>
      <c r="K184" s="100"/>
      <c r="L184" s="100"/>
    </row>
    <row r="185" spans="1:12" ht="17.25" hidden="1" thickBot="1" thickTop="1">
      <c r="A185" s="36"/>
      <c r="B185" s="36"/>
      <c r="C185" s="49"/>
      <c r="D185" s="13"/>
      <c r="F185" s="100"/>
      <c r="G185" s="100"/>
      <c r="H185" s="100"/>
      <c r="K185" s="100"/>
      <c r="L185" s="100"/>
    </row>
    <row r="186" spans="1:12" ht="17.25" hidden="1" thickBot="1" thickTop="1">
      <c r="A186" s="36"/>
      <c r="B186" s="36"/>
      <c r="C186" s="49"/>
      <c r="D186" s="13"/>
      <c r="F186" s="100"/>
      <c r="G186" s="100"/>
      <c r="H186" s="100"/>
      <c r="K186" s="100"/>
      <c r="L186" s="100"/>
    </row>
    <row r="187" spans="1:12" ht="17.25" hidden="1" thickBot="1" thickTop="1">
      <c r="A187" s="29"/>
      <c r="B187" s="29"/>
      <c r="C187" s="56"/>
      <c r="D187" s="15"/>
      <c r="F187" s="100"/>
      <c r="G187" s="100"/>
      <c r="H187" s="100"/>
      <c r="K187" s="100"/>
      <c r="L187" s="100"/>
    </row>
    <row r="188" spans="1:12" ht="17.25" hidden="1" thickBot="1" thickTop="1">
      <c r="A188" s="36"/>
      <c r="B188" s="36"/>
      <c r="C188" s="49"/>
      <c r="D188" s="13"/>
      <c r="F188" s="100"/>
      <c r="G188" s="100"/>
      <c r="H188" s="100"/>
      <c r="K188" s="100"/>
      <c r="L188" s="100"/>
    </row>
    <row r="189" spans="1:12" ht="17.25" hidden="1" thickBot="1" thickTop="1">
      <c r="A189" s="38"/>
      <c r="B189" s="38"/>
      <c r="C189" s="51"/>
      <c r="D189" s="59"/>
      <c r="F189" s="100"/>
      <c r="G189" s="100"/>
      <c r="H189" s="100"/>
      <c r="K189" s="100"/>
      <c r="L189" s="100"/>
    </row>
    <row r="190" spans="1:12" ht="17.25" hidden="1" thickBot="1" thickTop="1">
      <c r="A190" s="39"/>
      <c r="B190" s="39"/>
      <c r="C190" s="52"/>
      <c r="D190" s="114"/>
      <c r="E190" s="98"/>
      <c r="F190" s="100"/>
      <c r="G190" s="100"/>
      <c r="H190" s="100"/>
      <c r="K190" s="100"/>
      <c r="L190" s="100"/>
    </row>
    <row r="191" spans="1:12" s="751" customFormat="1" ht="17.25" customHeight="1" thickBot="1" thickTop="1">
      <c r="A191" s="913" t="s">
        <v>590</v>
      </c>
      <c r="B191" s="913"/>
      <c r="C191" s="913"/>
      <c r="D191" s="913"/>
      <c r="F191" s="753"/>
      <c r="G191" s="753"/>
      <c r="H191" s="753"/>
      <c r="K191" s="753"/>
      <c r="L191" s="753"/>
    </row>
    <row r="192" spans="1:12" ht="16.5" thickTop="1">
      <c r="A192" s="36">
        <v>52</v>
      </c>
      <c r="B192" s="36"/>
      <c r="C192" s="49" t="s">
        <v>2</v>
      </c>
      <c r="D192" s="13">
        <f>5+7-5</f>
        <v>7</v>
      </c>
      <c r="F192" s="100"/>
      <c r="G192" s="100"/>
      <c r="H192" s="100"/>
      <c r="K192" s="100"/>
      <c r="L192" s="100"/>
    </row>
    <row r="193" spans="1:12" ht="16.5" thickBot="1">
      <c r="A193" s="39"/>
      <c r="B193" s="39"/>
      <c r="C193" s="52" t="s">
        <v>6</v>
      </c>
      <c r="D193" s="114">
        <f>SUM(D192:D192)</f>
        <v>7</v>
      </c>
      <c r="F193" s="100"/>
      <c r="G193" s="100"/>
      <c r="H193" s="100"/>
      <c r="K193" s="100"/>
      <c r="L193" s="100"/>
    </row>
    <row r="194" spans="1:12" s="751" customFormat="1" ht="17.25" customHeight="1" thickBot="1" thickTop="1">
      <c r="A194" s="913" t="s">
        <v>591</v>
      </c>
      <c r="B194" s="913"/>
      <c r="C194" s="913"/>
      <c r="D194" s="913"/>
      <c r="F194" s="753"/>
      <c r="G194" s="753"/>
      <c r="H194" s="753"/>
      <c r="K194" s="753"/>
      <c r="L194" s="753"/>
    </row>
    <row r="195" spans="1:12" ht="16.5" thickTop="1">
      <c r="A195" s="36">
        <v>81</v>
      </c>
      <c r="B195" s="36"/>
      <c r="C195" s="48" t="s">
        <v>456</v>
      </c>
      <c r="D195" s="13">
        <v>5</v>
      </c>
      <c r="F195" s="100"/>
      <c r="G195" s="100"/>
      <c r="H195" s="100"/>
      <c r="K195" s="100"/>
      <c r="L195" s="100"/>
    </row>
    <row r="196" spans="1:12" ht="16.5" thickBot="1">
      <c r="A196" s="39"/>
      <c r="B196" s="39"/>
      <c r="C196" s="52" t="s">
        <v>6</v>
      </c>
      <c r="D196" s="114">
        <f>D195</f>
        <v>5</v>
      </c>
      <c r="F196" s="100"/>
      <c r="G196" s="100"/>
      <c r="H196" s="100"/>
      <c r="K196" s="100"/>
      <c r="L196" s="100"/>
    </row>
    <row r="197" spans="1:12" s="751" customFormat="1" ht="32.25" customHeight="1" thickBot="1" thickTop="1">
      <c r="A197" s="913" t="s">
        <v>336</v>
      </c>
      <c r="B197" s="913"/>
      <c r="C197" s="913"/>
      <c r="D197" s="913"/>
      <c r="F197" s="753"/>
      <c r="G197" s="753"/>
      <c r="H197" s="753"/>
      <c r="K197" s="753"/>
      <c r="L197" s="753"/>
    </row>
    <row r="198" spans="1:12" ht="32.25" thickTop="1">
      <c r="A198" s="21"/>
      <c r="B198" s="21"/>
      <c r="C198" s="22" t="s">
        <v>164</v>
      </c>
      <c r="D198" s="129">
        <f>1460+29</f>
        <v>1489</v>
      </c>
      <c r="F198" s="100"/>
      <c r="G198" s="100"/>
      <c r="H198" s="100"/>
      <c r="K198" s="100"/>
      <c r="L198" s="100"/>
    </row>
    <row r="199" spans="1:12" ht="15.75">
      <c r="A199" s="132"/>
      <c r="B199" s="132"/>
      <c r="C199" s="127" t="s">
        <v>158</v>
      </c>
      <c r="D199" s="290">
        <v>51</v>
      </c>
      <c r="F199" s="100"/>
      <c r="G199" s="100"/>
      <c r="H199" s="100"/>
      <c r="K199" s="100"/>
      <c r="L199" s="100"/>
    </row>
    <row r="200" spans="1:12" ht="16.5" thickBot="1">
      <c r="A200" s="39"/>
      <c r="B200" s="39"/>
      <c r="C200" s="92" t="s">
        <v>163</v>
      </c>
      <c r="D200" s="291">
        <v>29</v>
      </c>
      <c r="F200" s="100"/>
      <c r="G200" s="100"/>
      <c r="H200" s="100"/>
      <c r="K200" s="100"/>
      <c r="L200" s="100"/>
    </row>
    <row r="201" spans="1:8" ht="16.5" thickTop="1">
      <c r="A201" s="33"/>
      <c r="B201" s="33"/>
      <c r="C201" s="22" t="s">
        <v>162</v>
      </c>
      <c r="D201" s="99">
        <f>D196+D193+D104+D60+D198</f>
        <v>23567</v>
      </c>
      <c r="E201" s="100">
        <f>22854+713</f>
        <v>23567</v>
      </c>
      <c r="F201" s="100">
        <f>E201-D201</f>
        <v>0</v>
      </c>
      <c r="G201" s="100"/>
      <c r="H201" s="100"/>
    </row>
    <row r="202" spans="1:8" ht="15.75">
      <c r="A202" s="62"/>
      <c r="B202" s="62"/>
      <c r="C202" s="127" t="s">
        <v>158</v>
      </c>
      <c r="D202" s="119">
        <f>D70+D61+D199</f>
        <v>1589</v>
      </c>
      <c r="E202" s="100">
        <v>1589</v>
      </c>
      <c r="F202" s="100">
        <f>E202-D202</f>
        <v>0</v>
      </c>
      <c r="G202" s="100"/>
      <c r="H202" s="100"/>
    </row>
    <row r="203" spans="1:8" ht="15.75">
      <c r="A203" s="62"/>
      <c r="B203" s="62"/>
      <c r="C203" s="63" t="s">
        <v>163</v>
      </c>
      <c r="D203" s="120">
        <f>D167+D168+D125+D77+D31+D200+D32+D33+D97</f>
        <v>713</v>
      </c>
      <c r="E203" s="100">
        <v>713</v>
      </c>
      <c r="F203" s="100">
        <f>E203-D203</f>
        <v>0</v>
      </c>
      <c r="G203" s="100"/>
      <c r="H203" s="100"/>
    </row>
    <row r="204" spans="1:10" ht="16.5" thickBot="1">
      <c r="A204" s="23"/>
      <c r="B204" s="23"/>
      <c r="C204" s="92" t="s">
        <v>157</v>
      </c>
      <c r="D204" s="121">
        <f>D63</f>
        <v>472</v>
      </c>
      <c r="E204" s="100">
        <v>472</v>
      </c>
      <c r="F204" s="100">
        <f>E204-D204</f>
        <v>0</v>
      </c>
      <c r="G204" s="100"/>
      <c r="H204" s="100"/>
      <c r="I204" s="100"/>
      <c r="J204" s="100"/>
    </row>
    <row r="205" spans="1:6" s="123" customFormat="1" ht="16.5" thickTop="1">
      <c r="A205" s="64"/>
      <c r="B205" s="64"/>
      <c r="C205" s="65"/>
      <c r="D205" s="64"/>
      <c r="E205" s="64"/>
      <c r="F205" s="122"/>
    </row>
    <row r="206" spans="1:6" s="123" customFormat="1" ht="15.75">
      <c r="A206" s="64"/>
      <c r="B206" s="64"/>
      <c r="C206" s="9" t="s">
        <v>57</v>
      </c>
      <c r="D206" s="135">
        <f>D87</f>
        <v>250</v>
      </c>
      <c r="E206" s="64"/>
      <c r="F206" s="122"/>
    </row>
    <row r="207" spans="1:5" ht="15.75">
      <c r="A207" s="66"/>
      <c r="B207" s="66"/>
      <c r="C207" s="9" t="s">
        <v>214</v>
      </c>
      <c r="D207" s="135">
        <f>D8+D9+D10+D88+D89+D90</f>
        <v>3717</v>
      </c>
      <c r="E207" s="64"/>
    </row>
    <row r="208" spans="1:5" ht="15.75">
      <c r="A208" s="66"/>
      <c r="B208" s="66"/>
      <c r="C208" s="9" t="s">
        <v>14</v>
      </c>
      <c r="D208" s="135">
        <f>D11</f>
        <v>390</v>
      </c>
      <c r="E208" s="64"/>
    </row>
    <row r="209" spans="1:5" ht="15.75">
      <c r="A209" s="66"/>
      <c r="B209" s="66"/>
      <c r="C209" s="9" t="s">
        <v>15</v>
      </c>
      <c r="D209" s="135">
        <f>D12</f>
        <v>187</v>
      </c>
      <c r="E209" s="64"/>
    </row>
    <row r="210" spans="1:4" ht="15.75">
      <c r="A210" s="67"/>
      <c r="B210" s="67"/>
      <c r="C210" s="9" t="s">
        <v>74</v>
      </c>
      <c r="D210" s="135">
        <f>D13</f>
        <v>43</v>
      </c>
    </row>
    <row r="211" spans="1:4" ht="15.75">
      <c r="A211" s="66"/>
      <c r="B211" s="66"/>
      <c r="C211" s="9" t="s">
        <v>47</v>
      </c>
      <c r="D211" s="135">
        <f>D14+D15</f>
        <v>306</v>
      </c>
    </row>
    <row r="212" spans="1:4" ht="15.75">
      <c r="A212" s="124"/>
      <c r="B212" s="124"/>
      <c r="C212" s="9" t="s">
        <v>27</v>
      </c>
      <c r="D212" s="135">
        <f>D16+D17+D76+D96</f>
        <v>2453</v>
      </c>
    </row>
    <row r="213" spans="1:4" ht="15.75">
      <c r="A213" s="124"/>
      <c r="B213" s="124"/>
      <c r="C213" s="9" t="s">
        <v>16</v>
      </c>
      <c r="D213" s="135">
        <f>D18+D73+D93</f>
        <v>966</v>
      </c>
    </row>
    <row r="214" spans="1:4" ht="15.75">
      <c r="A214" s="125"/>
      <c r="B214" s="125"/>
      <c r="C214" s="9" t="s">
        <v>65</v>
      </c>
      <c r="D214" s="135">
        <f>D31+D77+D32+D33+D97</f>
        <v>684</v>
      </c>
    </row>
    <row r="215" spans="1:4" ht="15.75">
      <c r="A215" s="125"/>
      <c r="B215" s="125"/>
      <c r="C215" s="9" t="s">
        <v>25</v>
      </c>
      <c r="D215" s="135">
        <f>D34+D78+D98+D35</f>
        <v>1104</v>
      </c>
    </row>
    <row r="216" spans="1:4" ht="15.75">
      <c r="A216" s="125"/>
      <c r="B216" s="125"/>
      <c r="C216" s="9" t="s">
        <v>35</v>
      </c>
      <c r="D216" s="135">
        <f>D36+D79+D99</f>
        <v>411</v>
      </c>
    </row>
    <row r="217" spans="1:4" ht="15.75">
      <c r="A217" s="125"/>
      <c r="B217" s="125"/>
      <c r="C217" s="9" t="s">
        <v>17</v>
      </c>
      <c r="D217" s="135">
        <f>D37</f>
        <v>433</v>
      </c>
    </row>
    <row r="218" spans="1:4" ht="15.75">
      <c r="A218" s="125"/>
      <c r="B218" s="125"/>
      <c r="C218" s="9" t="s">
        <v>61</v>
      </c>
      <c r="D218" s="135">
        <f>D81+D91</f>
        <v>426</v>
      </c>
    </row>
    <row r="219" spans="1:4" ht="15.75">
      <c r="A219" s="125"/>
      <c r="B219" s="125"/>
      <c r="C219" s="9" t="s">
        <v>215</v>
      </c>
      <c r="D219" s="135">
        <f>D38+D39+D40</f>
        <v>1538</v>
      </c>
    </row>
    <row r="220" spans="1:4" ht="15.75">
      <c r="A220" s="125"/>
      <c r="B220" s="125"/>
      <c r="C220" s="9" t="s">
        <v>324</v>
      </c>
      <c r="D220" s="135">
        <f>D41</f>
        <v>427</v>
      </c>
    </row>
    <row r="221" spans="1:4" ht="15.75">
      <c r="A221" s="125"/>
      <c r="B221" s="125"/>
      <c r="C221" s="9" t="s">
        <v>18</v>
      </c>
      <c r="D221" s="135">
        <f>D42+D192</f>
        <v>453</v>
      </c>
    </row>
    <row r="222" spans="1:4" ht="15.75">
      <c r="A222" s="125"/>
      <c r="B222" s="125"/>
      <c r="C222" s="9" t="s">
        <v>23</v>
      </c>
      <c r="D222" s="135">
        <f>D43+D82+D101</f>
        <v>1132</v>
      </c>
    </row>
    <row r="223" spans="1:4" ht="15.75">
      <c r="A223" s="125"/>
      <c r="B223" s="125"/>
      <c r="C223" s="9" t="s">
        <v>19</v>
      </c>
      <c r="D223" s="135">
        <f>D44+D80+D100</f>
        <v>567</v>
      </c>
    </row>
    <row r="224" spans="1:4" ht="15.75">
      <c r="A224" s="125"/>
      <c r="B224" s="125"/>
      <c r="C224" s="9" t="s">
        <v>49</v>
      </c>
      <c r="D224" s="135">
        <f>D45</f>
        <v>26</v>
      </c>
    </row>
    <row r="225" spans="1:4" ht="15.75">
      <c r="A225" s="125"/>
      <c r="B225" s="125"/>
      <c r="C225" s="9" t="s">
        <v>26</v>
      </c>
      <c r="D225" s="135">
        <f>D46</f>
        <v>267</v>
      </c>
    </row>
    <row r="226" spans="1:4" ht="15.75">
      <c r="A226" s="125"/>
      <c r="B226" s="125"/>
      <c r="C226" s="9" t="s">
        <v>20</v>
      </c>
      <c r="D226" s="135">
        <f>D47</f>
        <v>1517</v>
      </c>
    </row>
    <row r="227" spans="1:4" ht="15.75">
      <c r="A227" s="125"/>
      <c r="B227" s="125"/>
      <c r="C227" s="9" t="s">
        <v>62</v>
      </c>
      <c r="D227" s="135">
        <f>D48+D54+D83+D102</f>
        <v>1234</v>
      </c>
    </row>
    <row r="228" spans="1:4" ht="15.75">
      <c r="A228" s="125"/>
      <c r="B228" s="125"/>
      <c r="C228" s="9" t="s">
        <v>46</v>
      </c>
      <c r="D228" s="135">
        <f>D55+D74+D94</f>
        <v>697</v>
      </c>
    </row>
    <row r="229" spans="1:4" ht="15.75">
      <c r="A229" s="125"/>
      <c r="B229" s="125"/>
      <c r="C229" s="9" t="s">
        <v>28</v>
      </c>
      <c r="D229" s="135">
        <f>D56+D72+D92</f>
        <v>2411</v>
      </c>
    </row>
    <row r="230" spans="1:4" ht="15.75">
      <c r="A230" s="125"/>
      <c r="B230" s="125"/>
      <c r="C230" s="9" t="s">
        <v>456</v>
      </c>
      <c r="D230" s="135">
        <f>D195</f>
        <v>5</v>
      </c>
    </row>
    <row r="231" spans="1:4" ht="15.75">
      <c r="A231" s="125"/>
      <c r="B231" s="125"/>
      <c r="C231" s="9" t="s">
        <v>63</v>
      </c>
      <c r="D231" s="135">
        <f>D84+D57+D103</f>
        <v>60</v>
      </c>
    </row>
    <row r="232" spans="1:4" ht="15.75">
      <c r="A232" s="125"/>
      <c r="B232" s="125"/>
      <c r="C232" s="9" t="s">
        <v>37</v>
      </c>
      <c r="D232" s="135">
        <f>D58</f>
        <v>100</v>
      </c>
    </row>
    <row r="233" spans="1:4" ht="15.75">
      <c r="A233" s="125"/>
      <c r="B233" s="125"/>
      <c r="C233" s="9" t="s">
        <v>21</v>
      </c>
      <c r="D233" s="135">
        <f>D59+D75+D95</f>
        <v>274</v>
      </c>
    </row>
    <row r="234" spans="1:6" ht="15.75">
      <c r="A234" s="125"/>
      <c r="B234" s="125"/>
      <c r="C234" s="89" t="s">
        <v>216</v>
      </c>
      <c r="D234" s="164">
        <f>SUM(D206:D233)</f>
        <v>22078</v>
      </c>
      <c r="E234" s="100">
        <f>D201-D198</f>
        <v>22078</v>
      </c>
      <c r="F234" s="100">
        <f>E234-D234</f>
        <v>0</v>
      </c>
    </row>
    <row r="235" spans="1:4" ht="15">
      <c r="A235" s="125"/>
      <c r="B235" s="125"/>
      <c r="C235" s="125"/>
      <c r="D235" s="125"/>
    </row>
    <row r="236" spans="1:4" ht="15">
      <c r="A236" s="125"/>
      <c r="B236" s="125"/>
      <c r="C236" s="125"/>
      <c r="D236" s="125"/>
    </row>
    <row r="237" spans="1:4" ht="15">
      <c r="A237" s="125"/>
      <c r="B237" s="125"/>
      <c r="C237" s="125"/>
      <c r="D237" s="125"/>
    </row>
    <row r="238" spans="1:4" ht="15">
      <c r="A238" s="125"/>
      <c r="B238" s="125"/>
      <c r="C238" s="125"/>
      <c r="D238" s="125"/>
    </row>
    <row r="239" spans="1:4" ht="15">
      <c r="A239" s="125"/>
      <c r="B239" s="125"/>
      <c r="C239" s="125"/>
      <c r="D239" s="125"/>
    </row>
    <row r="240" spans="1:4" ht="15">
      <c r="A240" s="125"/>
      <c r="B240" s="125"/>
      <c r="C240" s="125"/>
      <c r="D240" s="125"/>
    </row>
    <row r="241" spans="1:4" ht="15">
      <c r="A241" s="125"/>
      <c r="B241" s="125"/>
      <c r="C241" s="125"/>
      <c r="D241" s="125"/>
    </row>
    <row r="242" spans="1:4" ht="15">
      <c r="A242" s="125"/>
      <c r="B242" s="125"/>
      <c r="C242" s="125"/>
      <c r="D242" s="125"/>
    </row>
    <row r="243" spans="1:4" ht="15">
      <c r="A243" s="125"/>
      <c r="B243" s="125"/>
      <c r="C243" s="125"/>
      <c r="D243" s="125"/>
    </row>
    <row r="244" spans="1:4" ht="15">
      <c r="A244" s="125"/>
      <c r="B244" s="125"/>
      <c r="C244" s="125"/>
      <c r="D244" s="125"/>
    </row>
    <row r="245" spans="1:4" ht="15">
      <c r="A245" s="125"/>
      <c r="B245" s="125"/>
      <c r="C245" s="125"/>
      <c r="D245" s="125"/>
    </row>
    <row r="246" spans="1:4" ht="15">
      <c r="A246" s="125"/>
      <c r="B246" s="125"/>
      <c r="C246" s="125"/>
      <c r="D246" s="125"/>
    </row>
    <row r="247" spans="1:4" ht="15">
      <c r="A247" s="125"/>
      <c r="B247" s="125"/>
      <c r="C247" s="125"/>
      <c r="D247" s="125"/>
    </row>
    <row r="248" spans="1:4" ht="15">
      <c r="A248" s="125"/>
      <c r="B248" s="125"/>
      <c r="C248" s="125"/>
      <c r="D248" s="125"/>
    </row>
    <row r="249" spans="1:4" ht="15">
      <c r="A249" s="125"/>
      <c r="B249" s="125"/>
      <c r="C249" s="125"/>
      <c r="D249" s="125"/>
    </row>
    <row r="250" spans="1:4" ht="15">
      <c r="A250" s="125"/>
      <c r="B250" s="125"/>
      <c r="C250" s="125"/>
      <c r="D250" s="125"/>
    </row>
    <row r="251" spans="1:4" ht="15">
      <c r="A251" s="125"/>
      <c r="B251" s="125"/>
      <c r="C251" s="125"/>
      <c r="D251" s="125"/>
    </row>
  </sheetData>
  <sheetProtection/>
  <mergeCells count="20">
    <mergeCell ref="B4:D4"/>
    <mergeCell ref="B138:D138"/>
    <mergeCell ref="B159:D159"/>
    <mergeCell ref="B64:D64"/>
    <mergeCell ref="B108:D108"/>
    <mergeCell ref="B173:D173"/>
    <mergeCell ref="B148:D148"/>
    <mergeCell ref="B105:D105"/>
    <mergeCell ref="B50:B52"/>
    <mergeCell ref="B128:D128"/>
    <mergeCell ref="B184:D184"/>
    <mergeCell ref="A197:D197"/>
    <mergeCell ref="A50:A52"/>
    <mergeCell ref="A7:D7"/>
    <mergeCell ref="A71:D71"/>
    <mergeCell ref="A86:D86"/>
    <mergeCell ref="A191:D191"/>
    <mergeCell ref="A194:D194"/>
    <mergeCell ref="D50:D52"/>
    <mergeCell ref="B117:D117"/>
  </mergeCells>
  <printOptions/>
  <pageMargins left="0.7874015748031497" right="0.1968503937007874" top="0.7480314960629921" bottom="0.35433070866141736" header="0.31496062992125984" footer="0.31496062992125984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S212"/>
  <sheetViews>
    <sheetView view="pageBreakPreview" zoomScale="85" zoomScaleSheetLayoutView="85" zoomScalePageLayoutView="0" workbookViewId="0" topLeftCell="A1">
      <pane ySplit="8" topLeftCell="A15" activePane="bottomLeft" state="frozen"/>
      <selection pane="topLeft" activeCell="A1" sqref="A1"/>
      <selection pane="bottomLeft" activeCell="J16" sqref="J16"/>
    </sheetView>
  </sheetViews>
  <sheetFormatPr defaultColWidth="9.140625" defaultRowHeight="12.75"/>
  <cols>
    <col min="1" max="1" width="8.7109375" style="95" customWidth="1"/>
    <col min="2" max="2" width="35.8515625" style="95" customWidth="1"/>
    <col min="3" max="3" width="14.7109375" style="95" customWidth="1"/>
    <col min="4" max="4" width="17.421875" style="95" customWidth="1"/>
    <col min="5" max="5" width="14.7109375" style="95" customWidth="1"/>
    <col min="6" max="6" width="21.140625" style="133" customWidth="1"/>
    <col min="7" max="7" width="9.140625" style="95" customWidth="1"/>
    <col min="8" max="8" width="15.00390625" style="95" customWidth="1"/>
    <col min="9" max="9" width="12.7109375" style="95" bestFit="1" customWidth="1"/>
    <col min="10" max="19" width="9.140625" style="95" customWidth="1"/>
    <col min="20" max="20" width="11.421875" style="95" customWidth="1"/>
    <col min="21" max="16384" width="9.140625" style="95" customWidth="1"/>
  </cols>
  <sheetData>
    <row r="1" ht="15.75">
      <c r="F1" s="241" t="s">
        <v>269</v>
      </c>
    </row>
    <row r="3" spans="1:6" s="93" customFormat="1" ht="46.5" customHeight="1">
      <c r="A3" s="922" t="str">
        <f>'1. АМП'!A5:H5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2024 ГОДУ                                                                                          </v>
      </c>
      <c r="B3" s="922"/>
      <c r="C3" s="922"/>
      <c r="D3" s="922"/>
      <c r="E3" s="922"/>
      <c r="F3" s="922"/>
    </row>
    <row r="4" spans="1:6" s="93" customFormat="1" ht="19.5" customHeight="1">
      <c r="A4" s="94"/>
      <c r="B4" s="94"/>
      <c r="C4" s="94"/>
      <c r="D4" s="94"/>
      <c r="E4" s="94"/>
      <c r="F4" s="94"/>
    </row>
    <row r="5" spans="1:6" s="93" customFormat="1" ht="22.5" customHeight="1">
      <c r="A5" s="920" t="s">
        <v>274</v>
      </c>
      <c r="B5" s="920"/>
      <c r="C5" s="920"/>
      <c r="D5" s="920"/>
      <c r="E5" s="920"/>
      <c r="F5" s="920"/>
    </row>
    <row r="6" ht="16.5" thickBot="1"/>
    <row r="7" spans="1:6" s="751" customFormat="1" ht="20.25" customHeight="1" thickTop="1">
      <c r="A7" s="923" t="s">
        <v>323</v>
      </c>
      <c r="B7" s="925" t="s">
        <v>75</v>
      </c>
      <c r="C7" s="929" t="s">
        <v>168</v>
      </c>
      <c r="D7" s="930"/>
      <c r="E7" s="930"/>
      <c r="F7" s="927" t="s">
        <v>169</v>
      </c>
    </row>
    <row r="8" spans="1:6" s="751" customFormat="1" ht="67.5" customHeight="1" thickBot="1">
      <c r="A8" s="924"/>
      <c r="B8" s="926"/>
      <c r="C8" s="754" t="s">
        <v>165</v>
      </c>
      <c r="D8" s="755" t="s">
        <v>166</v>
      </c>
      <c r="E8" s="756" t="s">
        <v>167</v>
      </c>
      <c r="F8" s="928"/>
    </row>
    <row r="9" spans="1:6" ht="21.75" customHeight="1" thickBot="1" thickTop="1">
      <c r="A9" s="921" t="s">
        <v>228</v>
      </c>
      <c r="B9" s="913"/>
      <c r="C9" s="913"/>
      <c r="D9" s="913"/>
      <c r="E9" s="913"/>
      <c r="F9" s="913"/>
    </row>
    <row r="10" spans="1:6" ht="33.75" customHeight="1" thickTop="1">
      <c r="A10" s="36">
        <v>6</v>
      </c>
      <c r="B10" s="14" t="s">
        <v>212</v>
      </c>
      <c r="C10" s="13">
        <v>320</v>
      </c>
      <c r="D10" s="135"/>
      <c r="E10" s="135"/>
      <c r="F10" s="164">
        <f>C10+D10+E10</f>
        <v>320</v>
      </c>
    </row>
    <row r="11" spans="1:6" ht="30.75" customHeight="1">
      <c r="A11" s="36">
        <v>5</v>
      </c>
      <c r="B11" s="14" t="s">
        <v>211</v>
      </c>
      <c r="C11" s="13">
        <v>0</v>
      </c>
      <c r="D11" s="135"/>
      <c r="E11" s="135"/>
      <c r="F11" s="164">
        <f>C11+D11+E11</f>
        <v>0</v>
      </c>
    </row>
    <row r="12" spans="1:17" ht="15.75">
      <c r="A12" s="36">
        <v>15</v>
      </c>
      <c r="B12" s="14" t="s">
        <v>15</v>
      </c>
      <c r="C12" s="13">
        <v>64</v>
      </c>
      <c r="D12" s="135"/>
      <c r="E12" s="135"/>
      <c r="F12" s="164">
        <f>C12+D12+E12</f>
        <v>64</v>
      </c>
      <c r="Q12" s="95" t="s">
        <v>54</v>
      </c>
    </row>
    <row r="13" spans="1:6" ht="15.75" hidden="1">
      <c r="A13" s="36">
        <v>15</v>
      </c>
      <c r="B13" s="235" t="s">
        <v>265</v>
      </c>
      <c r="C13" s="260">
        <v>0</v>
      </c>
      <c r="D13" s="135"/>
      <c r="E13" s="135"/>
      <c r="F13" s="164">
        <f>C13+D13+E13</f>
        <v>0</v>
      </c>
    </row>
    <row r="14" spans="1:6" ht="15.75">
      <c r="A14" s="36">
        <v>17</v>
      </c>
      <c r="B14" s="14" t="s">
        <v>47</v>
      </c>
      <c r="C14" s="13">
        <v>158</v>
      </c>
      <c r="D14" s="135"/>
      <c r="E14" s="135"/>
      <c r="F14" s="91">
        <f aca="true" t="shared" si="0" ref="F14:F33">C14+D14+E14</f>
        <v>158</v>
      </c>
    </row>
    <row r="15" spans="1:6" ht="18.75" customHeight="1">
      <c r="A15" s="36">
        <v>17</v>
      </c>
      <c r="B15" s="14" t="s">
        <v>50</v>
      </c>
      <c r="C15" s="13">
        <v>45</v>
      </c>
      <c r="D15" s="135"/>
      <c r="E15" s="135"/>
      <c r="F15" s="91">
        <f t="shared" si="0"/>
        <v>45</v>
      </c>
    </row>
    <row r="16" spans="1:6" ht="36.75" customHeight="1">
      <c r="A16" s="36">
        <v>24</v>
      </c>
      <c r="B16" s="16" t="s">
        <v>479</v>
      </c>
      <c r="C16" s="15">
        <v>36</v>
      </c>
      <c r="D16" s="144"/>
      <c r="E16" s="144"/>
      <c r="F16" s="91">
        <f t="shared" si="0"/>
        <v>36</v>
      </c>
    </row>
    <row r="17" spans="1:6" ht="15.75">
      <c r="A17" s="36">
        <v>26</v>
      </c>
      <c r="B17" s="16" t="s">
        <v>16</v>
      </c>
      <c r="C17" s="807">
        <v>76</v>
      </c>
      <c r="D17" s="144"/>
      <c r="E17" s="144"/>
      <c r="F17" s="136">
        <f t="shared" si="0"/>
        <v>76</v>
      </c>
    </row>
    <row r="18" spans="1:6" ht="15.75" hidden="1">
      <c r="A18" s="36">
        <v>30</v>
      </c>
      <c r="B18" s="14" t="s">
        <v>65</v>
      </c>
      <c r="C18" s="808">
        <v>0</v>
      </c>
      <c r="D18" s="135"/>
      <c r="E18" s="135"/>
      <c r="F18" s="91">
        <f t="shared" si="0"/>
        <v>0</v>
      </c>
    </row>
    <row r="19" spans="1:6" ht="15.75" hidden="1">
      <c r="A19" s="36">
        <v>30</v>
      </c>
      <c r="B19" s="14" t="s">
        <v>266</v>
      </c>
      <c r="C19" s="808">
        <v>0</v>
      </c>
      <c r="D19" s="135"/>
      <c r="E19" s="135"/>
      <c r="F19" s="91">
        <f t="shared" si="0"/>
        <v>0</v>
      </c>
    </row>
    <row r="20" spans="1:7" ht="15.75">
      <c r="A20" s="36">
        <v>34</v>
      </c>
      <c r="B20" s="14" t="s">
        <v>25</v>
      </c>
      <c r="C20" s="808">
        <v>161</v>
      </c>
      <c r="D20" s="135"/>
      <c r="E20" s="135"/>
      <c r="F20" s="91">
        <f t="shared" si="0"/>
        <v>161</v>
      </c>
      <c r="G20" s="98"/>
    </row>
    <row r="21" spans="1:9" ht="15.75">
      <c r="A21" s="36">
        <v>41</v>
      </c>
      <c r="B21" s="14" t="s">
        <v>17</v>
      </c>
      <c r="C21" s="808">
        <f>168-12</f>
        <v>156</v>
      </c>
      <c r="D21" s="135"/>
      <c r="E21" s="135"/>
      <c r="F21" s="91">
        <f t="shared" si="0"/>
        <v>156</v>
      </c>
      <c r="I21" s="66"/>
    </row>
    <row r="22" spans="1:9" ht="16.5" thickTop="1">
      <c r="A22" s="36">
        <v>42</v>
      </c>
      <c r="B22" s="14" t="s">
        <v>71</v>
      </c>
      <c r="C22" s="808">
        <v>191</v>
      </c>
      <c r="D22" s="135"/>
      <c r="E22" s="135"/>
      <c r="F22" s="91">
        <f t="shared" si="0"/>
        <v>191</v>
      </c>
      <c r="I22" s="66"/>
    </row>
    <row r="23" spans="1:9" ht="32.25" thickTop="1">
      <c r="A23" s="36">
        <f>A22</f>
        <v>42</v>
      </c>
      <c r="B23" s="14" t="s">
        <v>72</v>
      </c>
      <c r="C23" s="809">
        <f>51+1220</f>
        <v>1271</v>
      </c>
      <c r="D23" s="135">
        <v>32</v>
      </c>
      <c r="E23" s="135"/>
      <c r="F23" s="91">
        <f t="shared" si="0"/>
        <v>1303</v>
      </c>
      <c r="I23" s="66"/>
    </row>
    <row r="24" spans="1:9" ht="32.25" thickTop="1">
      <c r="A24" s="36">
        <f>A22</f>
        <v>42</v>
      </c>
      <c r="B24" s="14" t="s">
        <v>170</v>
      </c>
      <c r="C24" s="13">
        <v>225</v>
      </c>
      <c r="D24" s="135"/>
      <c r="E24" s="135"/>
      <c r="F24" s="91">
        <f t="shared" si="0"/>
        <v>225</v>
      </c>
      <c r="I24" s="66"/>
    </row>
    <row r="25" spans="1:6" ht="16.5" thickTop="1">
      <c r="A25" s="36">
        <v>50</v>
      </c>
      <c r="B25" s="14" t="s">
        <v>324</v>
      </c>
      <c r="C25" s="13">
        <v>150</v>
      </c>
      <c r="D25" s="135"/>
      <c r="E25" s="135"/>
      <c r="F25" s="91">
        <f t="shared" si="0"/>
        <v>150</v>
      </c>
    </row>
    <row r="26" spans="1:6" ht="16.5" thickTop="1">
      <c r="A26" s="36">
        <v>52</v>
      </c>
      <c r="B26" s="14" t="s">
        <v>18</v>
      </c>
      <c r="C26" s="13">
        <v>115</v>
      </c>
      <c r="D26" s="135"/>
      <c r="E26" s="135"/>
      <c r="F26" s="91">
        <f t="shared" si="0"/>
        <v>115</v>
      </c>
    </row>
    <row r="27" spans="1:6" ht="15.75">
      <c r="A27" s="36">
        <v>55</v>
      </c>
      <c r="B27" s="14" t="s">
        <v>23</v>
      </c>
      <c r="C27" s="96">
        <v>124</v>
      </c>
      <c r="D27" s="135">
        <v>39</v>
      </c>
      <c r="E27" s="135">
        <v>117</v>
      </c>
      <c r="F27" s="91">
        <f t="shared" si="0"/>
        <v>280</v>
      </c>
    </row>
    <row r="28" spans="1:6" ht="15.75">
      <c r="A28" s="36">
        <v>65</v>
      </c>
      <c r="B28" s="14" t="s">
        <v>49</v>
      </c>
      <c r="C28" s="96">
        <v>85</v>
      </c>
      <c r="D28" s="135"/>
      <c r="E28" s="135"/>
      <c r="F28" s="91">
        <f t="shared" si="0"/>
        <v>85</v>
      </c>
    </row>
    <row r="29" spans="1:6" ht="15.75">
      <c r="A29" s="36">
        <v>67</v>
      </c>
      <c r="B29" s="14" t="s">
        <v>26</v>
      </c>
      <c r="C29" s="13">
        <v>53</v>
      </c>
      <c r="D29" s="135"/>
      <c r="E29" s="135"/>
      <c r="F29" s="91">
        <f t="shared" si="0"/>
        <v>53</v>
      </c>
    </row>
    <row r="30" spans="1:6" ht="15.75">
      <c r="A30" s="36">
        <v>71</v>
      </c>
      <c r="B30" s="14" t="s">
        <v>20</v>
      </c>
      <c r="C30" s="96">
        <v>451</v>
      </c>
      <c r="D30" s="135">
        <f>479</f>
        <v>479</v>
      </c>
      <c r="E30" s="135">
        <v>136</v>
      </c>
      <c r="F30" s="164">
        <f>C30+D30+E30</f>
        <v>1066</v>
      </c>
    </row>
    <row r="31" spans="1:7" ht="34.5" customHeight="1">
      <c r="A31" s="36">
        <v>74</v>
      </c>
      <c r="B31" s="17" t="s">
        <v>76</v>
      </c>
      <c r="C31" s="13">
        <v>108</v>
      </c>
      <c r="D31" s="135"/>
      <c r="E31" s="135"/>
      <c r="F31" s="91">
        <f t="shared" si="0"/>
        <v>108</v>
      </c>
      <c r="G31" s="98"/>
    </row>
    <row r="32" spans="1:6" ht="16.5" thickTop="1">
      <c r="A32" s="36">
        <v>77</v>
      </c>
      <c r="B32" s="18" t="s">
        <v>46</v>
      </c>
      <c r="C32" s="13">
        <v>121</v>
      </c>
      <c r="D32" s="135"/>
      <c r="E32" s="135"/>
      <c r="F32" s="91">
        <f t="shared" si="0"/>
        <v>121</v>
      </c>
    </row>
    <row r="33" spans="1:7" ht="16.5" thickTop="1">
      <c r="A33" s="36">
        <v>80</v>
      </c>
      <c r="B33" s="18" t="s">
        <v>28</v>
      </c>
      <c r="C33" s="236">
        <f>302</f>
        <v>302</v>
      </c>
      <c r="D33" s="135"/>
      <c r="E33" s="135"/>
      <c r="F33" s="91">
        <f t="shared" si="0"/>
        <v>302</v>
      </c>
      <c r="G33" s="98"/>
    </row>
    <row r="34" spans="1:13" ht="16.5" thickTop="1">
      <c r="A34" s="21"/>
      <c r="B34" s="22" t="s">
        <v>56</v>
      </c>
      <c r="C34" s="237">
        <f>SUM(C10:C33)-C13</f>
        <v>4212</v>
      </c>
      <c r="D34" s="138">
        <f>SUM(D10:D33)-D13</f>
        <v>550</v>
      </c>
      <c r="E34" s="138">
        <f>SUM(E10:E33)-E13</f>
        <v>253</v>
      </c>
      <c r="F34" s="139">
        <f>SUM(F10:F33)-F13</f>
        <v>5015</v>
      </c>
      <c r="G34" s="100"/>
      <c r="H34" s="101"/>
      <c r="I34" s="101"/>
      <c r="J34" s="101"/>
      <c r="K34" s="102"/>
      <c r="L34" s="102"/>
      <c r="M34" s="102"/>
    </row>
    <row r="35" spans="1:13" ht="32.25" thickBot="1">
      <c r="A35" s="27"/>
      <c r="B35" s="127" t="s">
        <v>158</v>
      </c>
      <c r="C35" s="166">
        <f>C23+C22+C24+C13</f>
        <v>1687</v>
      </c>
      <c r="D35" s="166">
        <f>D23+D22+D24</f>
        <v>32</v>
      </c>
      <c r="E35" s="166">
        <f>E23+E22+E24</f>
        <v>0</v>
      </c>
      <c r="F35" s="167">
        <f>C35+D35+E35</f>
        <v>1719</v>
      </c>
      <c r="G35" s="100"/>
      <c r="H35" s="101"/>
      <c r="I35" s="101"/>
      <c r="J35" s="101"/>
      <c r="K35" s="102"/>
      <c r="L35" s="102"/>
      <c r="M35" s="102"/>
    </row>
    <row r="36" spans="1:13" ht="22.5" customHeight="1" hidden="1" thickBot="1" thickTop="1">
      <c r="A36" s="911"/>
      <c r="B36" s="912"/>
      <c r="C36" s="912"/>
      <c r="D36" s="912"/>
      <c r="E36" s="912"/>
      <c r="F36" s="912"/>
      <c r="H36" s="102"/>
      <c r="I36" s="102"/>
      <c r="J36" s="102"/>
      <c r="K36" s="102"/>
      <c r="L36" s="102"/>
      <c r="M36" s="102"/>
    </row>
    <row r="37" spans="1:13" ht="33.75" customHeight="1" hidden="1" thickTop="1">
      <c r="A37" s="24"/>
      <c r="B37" s="25"/>
      <c r="C37" s="24"/>
      <c r="D37" s="140"/>
      <c r="E37" s="140"/>
      <c r="F37" s="141"/>
      <c r="H37" s="102"/>
      <c r="I37" s="102"/>
      <c r="J37" s="102"/>
      <c r="K37" s="102"/>
      <c r="L37" s="102"/>
      <c r="M37" s="102"/>
    </row>
    <row r="38" spans="1:13" ht="33.75" customHeight="1" hidden="1">
      <c r="A38" s="15"/>
      <c r="B38" s="16"/>
      <c r="C38" s="15"/>
      <c r="D38" s="135"/>
      <c r="E38" s="142"/>
      <c r="F38" s="136"/>
      <c r="H38" s="102"/>
      <c r="I38" s="102"/>
      <c r="J38" s="102"/>
      <c r="K38" s="102"/>
      <c r="L38" s="102"/>
      <c r="M38" s="102"/>
    </row>
    <row r="39" spans="1:13" ht="17.25" hidden="1" thickBot="1" thickTop="1">
      <c r="A39" s="26"/>
      <c r="B39" s="14"/>
      <c r="C39" s="20"/>
      <c r="D39" s="8"/>
      <c r="E39" s="8"/>
      <c r="F39" s="91"/>
      <c r="H39" s="102"/>
      <c r="I39" s="102"/>
      <c r="J39" s="102"/>
      <c r="K39" s="102"/>
      <c r="L39" s="102"/>
      <c r="M39" s="102"/>
    </row>
    <row r="40" spans="1:13" ht="17.25" hidden="1" thickBot="1" thickTop="1">
      <c r="A40" s="27"/>
      <c r="B40" s="28"/>
      <c r="C40" s="109"/>
      <c r="D40" s="143"/>
      <c r="E40" s="143"/>
      <c r="F40" s="83"/>
      <c r="K40" s="102"/>
      <c r="L40" s="102"/>
      <c r="M40" s="102"/>
    </row>
    <row r="41" spans="1:13" ht="16.5" hidden="1" thickTop="1">
      <c r="A41" s="27"/>
      <c r="B41" s="127"/>
      <c r="C41" s="165"/>
      <c r="D41" s="166"/>
      <c r="E41" s="166"/>
      <c r="F41" s="167"/>
      <c r="G41" s="100"/>
      <c r="H41" s="101"/>
      <c r="I41" s="101"/>
      <c r="J41" s="101"/>
      <c r="K41" s="102"/>
      <c r="L41" s="102"/>
      <c r="M41" s="102"/>
    </row>
    <row r="42" spans="1:13" ht="17.25" hidden="1" thickBot="1" thickTop="1">
      <c r="A42" s="911"/>
      <c r="B42" s="912"/>
      <c r="C42" s="912"/>
      <c r="D42" s="912"/>
      <c r="E42" s="912"/>
      <c r="F42" s="912"/>
      <c r="H42" s="102"/>
      <c r="I42" s="102"/>
      <c r="J42" s="102"/>
      <c r="K42" s="102"/>
      <c r="L42" s="102"/>
      <c r="M42" s="102"/>
    </row>
    <row r="43" spans="1:6" ht="16.5" hidden="1" thickTop="1">
      <c r="A43" s="29"/>
      <c r="B43" s="30"/>
      <c r="C43" s="345"/>
      <c r="D43" s="135"/>
      <c r="E43" s="144"/>
      <c r="F43" s="136"/>
    </row>
    <row r="44" spans="1:19" ht="15.75" hidden="1">
      <c r="A44" s="29"/>
      <c r="B44" s="30"/>
      <c r="C44" s="345"/>
      <c r="D44" s="144"/>
      <c r="E44" s="144"/>
      <c r="F44" s="136"/>
      <c r="P44" s="324"/>
      <c r="Q44" s="324"/>
      <c r="R44" s="324"/>
      <c r="S44" s="324"/>
    </row>
    <row r="45" spans="1:6" ht="16.5" hidden="1" thickBot="1">
      <c r="A45" s="62"/>
      <c r="B45" s="213"/>
      <c r="C45" s="66"/>
      <c r="D45" s="157"/>
      <c r="E45" s="157"/>
      <c r="F45" s="136"/>
    </row>
    <row r="46" spans="1:10" ht="17.25" hidden="1" thickBot="1" thickTop="1">
      <c r="A46" s="31"/>
      <c r="B46" s="32"/>
      <c r="C46" s="111"/>
      <c r="D46" s="143"/>
      <c r="E46" s="143"/>
      <c r="F46" s="83"/>
      <c r="G46" s="100"/>
      <c r="H46" s="100"/>
      <c r="I46" s="100"/>
      <c r="J46" s="100"/>
    </row>
    <row r="47" spans="1:6" s="751" customFormat="1" ht="17.25" thickBot="1" thickTop="1">
      <c r="A47" s="921" t="s">
        <v>584</v>
      </c>
      <c r="B47" s="913"/>
      <c r="C47" s="913"/>
      <c r="D47" s="913"/>
      <c r="E47" s="913"/>
      <c r="F47" s="913"/>
    </row>
    <row r="48" spans="1:9" s="107" customFormat="1" ht="32.25" thickTop="1">
      <c r="A48" s="35">
        <v>6</v>
      </c>
      <c r="B48" s="30" t="s">
        <v>212</v>
      </c>
      <c r="C48" s="292">
        <f>504</f>
        <v>504</v>
      </c>
      <c r="D48" s="144">
        <f>80+60</f>
        <v>140</v>
      </c>
      <c r="E48" s="144"/>
      <c r="F48" s="145">
        <f aca="true" t="shared" si="1" ref="F48:F53">C48+D48+E48</f>
        <v>644</v>
      </c>
      <c r="G48" s="100">
        <f>F48+F50</f>
        <v>776</v>
      </c>
      <c r="H48" s="112"/>
      <c r="I48" s="113"/>
    </row>
    <row r="49" spans="1:9" s="246" customFormat="1" ht="15.75" customHeight="1">
      <c r="A49" s="243">
        <f>A48</f>
        <v>6</v>
      </c>
      <c r="B49" s="244" t="s">
        <v>51</v>
      </c>
      <c r="C49" s="359">
        <v>150</v>
      </c>
      <c r="D49" s="360">
        <f>80+60</f>
        <v>140</v>
      </c>
      <c r="E49" s="245"/>
      <c r="F49" s="279">
        <f t="shared" si="1"/>
        <v>290</v>
      </c>
      <c r="H49" s="247"/>
      <c r="I49" s="248"/>
    </row>
    <row r="50" spans="1:9" ht="31.5">
      <c r="A50" s="36">
        <v>5</v>
      </c>
      <c r="B50" s="14" t="s">
        <v>211</v>
      </c>
      <c r="C50" s="19">
        <v>132</v>
      </c>
      <c r="D50" s="134"/>
      <c r="E50" s="134"/>
      <c r="F50" s="146">
        <f t="shared" si="1"/>
        <v>132</v>
      </c>
      <c r="I50" s="100"/>
    </row>
    <row r="51" spans="1:9" ht="15.75">
      <c r="A51" s="29">
        <v>34</v>
      </c>
      <c r="B51" s="30" t="s">
        <v>29</v>
      </c>
      <c r="C51" s="345">
        <v>103</v>
      </c>
      <c r="D51" s="135"/>
      <c r="E51" s="144"/>
      <c r="F51" s="136">
        <f t="shared" si="1"/>
        <v>103</v>
      </c>
      <c r="I51" s="100"/>
    </row>
    <row r="52" spans="1:9" ht="15.75">
      <c r="A52" s="29">
        <v>55</v>
      </c>
      <c r="B52" s="30" t="s">
        <v>23</v>
      </c>
      <c r="C52" s="345">
        <v>203</v>
      </c>
      <c r="D52" s="144"/>
      <c r="E52" s="144"/>
      <c r="F52" s="136">
        <f t="shared" si="1"/>
        <v>203</v>
      </c>
      <c r="I52" s="100"/>
    </row>
    <row r="53" spans="1:9" ht="16.5" thickBot="1">
      <c r="A53" s="62">
        <v>23</v>
      </c>
      <c r="B53" s="213" t="s">
        <v>585</v>
      </c>
      <c r="C53" s="66">
        <v>24</v>
      </c>
      <c r="D53" s="157"/>
      <c r="E53" s="157"/>
      <c r="F53" s="136">
        <f t="shared" si="1"/>
        <v>24</v>
      </c>
      <c r="I53" s="100"/>
    </row>
    <row r="54" spans="1:10" ht="17.25" thickBot="1" thickTop="1">
      <c r="A54" s="31"/>
      <c r="B54" s="32" t="s">
        <v>6</v>
      </c>
      <c r="C54" s="111">
        <f>SUM(C48:C53)-C49</f>
        <v>966</v>
      </c>
      <c r="D54" s="143">
        <f>SUM(D48:D53)-D49</f>
        <v>140</v>
      </c>
      <c r="E54" s="143">
        <f>SUM(E48:E53)-E49</f>
        <v>0</v>
      </c>
      <c r="F54" s="83">
        <f>SUM(F48:F53)-F49</f>
        <v>1106</v>
      </c>
      <c r="G54" s="100"/>
      <c r="H54" s="100"/>
      <c r="I54" s="100"/>
      <c r="J54" s="100"/>
    </row>
    <row r="55" spans="1:6" ht="17.25" hidden="1" thickBot="1" thickTop="1">
      <c r="A55" s="911"/>
      <c r="B55" s="912"/>
      <c r="C55" s="912"/>
      <c r="D55" s="912"/>
      <c r="E55" s="912"/>
      <c r="F55" s="912"/>
    </row>
    <row r="56" spans="1:6" ht="17.25" hidden="1" thickBot="1" thickTop="1">
      <c r="A56" s="41"/>
      <c r="B56" s="42"/>
      <c r="C56" s="115"/>
      <c r="D56" s="168"/>
      <c r="E56" s="168"/>
      <c r="F56" s="148"/>
    </row>
    <row r="57" spans="1:10" ht="17.25" hidden="1" thickBot="1" thickTop="1">
      <c r="A57" s="39"/>
      <c r="B57" s="40"/>
      <c r="C57" s="114"/>
      <c r="D57" s="143"/>
      <c r="E57" s="143"/>
      <c r="F57" s="149"/>
      <c r="H57" s="100"/>
      <c r="I57" s="100"/>
      <c r="J57" s="100"/>
    </row>
    <row r="58" spans="1:13" s="751" customFormat="1" ht="17.25" thickBot="1" thickTop="1">
      <c r="A58" s="921" t="s">
        <v>592</v>
      </c>
      <c r="B58" s="913"/>
      <c r="C58" s="913"/>
      <c r="D58" s="913"/>
      <c r="E58" s="913"/>
      <c r="F58" s="913"/>
      <c r="H58" s="752"/>
      <c r="I58" s="752"/>
      <c r="J58" s="752"/>
      <c r="K58" s="752"/>
      <c r="L58" s="752"/>
      <c r="M58" s="752"/>
    </row>
    <row r="59" spans="1:13" ht="16.5" thickTop="1">
      <c r="A59" s="29">
        <v>71</v>
      </c>
      <c r="B59" s="43" t="s">
        <v>20</v>
      </c>
      <c r="C59" s="15">
        <v>0</v>
      </c>
      <c r="D59" s="142">
        <v>2145</v>
      </c>
      <c r="E59" s="142">
        <f>130-130</f>
        <v>0</v>
      </c>
      <c r="F59" s="136">
        <f>C59+D59+E59</f>
        <v>2145</v>
      </c>
      <c r="H59" s="102"/>
      <c r="I59" s="102"/>
      <c r="J59" s="102"/>
      <c r="K59" s="102"/>
      <c r="L59" s="102"/>
      <c r="M59" s="102"/>
    </row>
    <row r="60" spans="1:13" ht="15.75">
      <c r="A60" s="44">
        <v>80</v>
      </c>
      <c r="B60" s="45" t="s">
        <v>28</v>
      </c>
      <c r="C60" s="19">
        <v>0</v>
      </c>
      <c r="D60" s="8">
        <v>301</v>
      </c>
      <c r="E60" s="8">
        <f>18-18</f>
        <v>0</v>
      </c>
      <c r="F60" s="91">
        <f>C60+D60+E60</f>
        <v>301</v>
      </c>
      <c r="H60" s="102"/>
      <c r="I60" s="102"/>
      <c r="J60" s="102"/>
      <c r="K60" s="102"/>
      <c r="L60" s="102"/>
      <c r="M60" s="102"/>
    </row>
    <row r="61" spans="1:13" ht="15.75">
      <c r="A61" s="36">
        <v>85</v>
      </c>
      <c r="B61" s="37" t="s">
        <v>21</v>
      </c>
      <c r="C61" s="19">
        <v>0</v>
      </c>
      <c r="D61" s="8">
        <v>59</v>
      </c>
      <c r="E61" s="323"/>
      <c r="F61" s="293">
        <f>C61+D61+E61</f>
        <v>59</v>
      </c>
      <c r="H61" s="102"/>
      <c r="I61" s="102"/>
      <c r="J61" s="102"/>
      <c r="K61" s="102"/>
      <c r="L61" s="102"/>
      <c r="M61" s="102"/>
    </row>
    <row r="62" spans="1:13" ht="16.5" thickBot="1">
      <c r="A62" s="62">
        <v>30</v>
      </c>
      <c r="B62" s="213" t="s">
        <v>341</v>
      </c>
      <c r="C62" s="66">
        <v>0</v>
      </c>
      <c r="D62" s="157">
        <v>335</v>
      </c>
      <c r="E62" s="157"/>
      <c r="F62" s="136">
        <f>C62+D62+E62</f>
        <v>335</v>
      </c>
      <c r="H62" s="102"/>
      <c r="I62" s="102"/>
      <c r="J62" s="102"/>
      <c r="K62" s="102"/>
      <c r="L62" s="102"/>
      <c r="M62" s="102"/>
    </row>
    <row r="63" spans="1:13" ht="17.25" thickBot="1" thickTop="1">
      <c r="A63" s="31"/>
      <c r="B63" s="47" t="s">
        <v>6</v>
      </c>
      <c r="C63" s="109">
        <f>SUM(C59:C62)</f>
        <v>0</v>
      </c>
      <c r="D63" s="151">
        <f>SUM(D59:D62)</f>
        <v>2840</v>
      </c>
      <c r="E63" s="151">
        <f>SUM(E59:E62)</f>
        <v>0</v>
      </c>
      <c r="F63" s="151">
        <f>SUM(F59:F62)</f>
        <v>2840</v>
      </c>
      <c r="H63" s="101"/>
      <c r="I63" s="101"/>
      <c r="J63" s="101"/>
      <c r="K63" s="102"/>
      <c r="L63" s="102"/>
      <c r="M63" s="102"/>
    </row>
    <row r="64" spans="1:6" s="751" customFormat="1" ht="17.25" thickBot="1" thickTop="1">
      <c r="A64" s="921" t="s">
        <v>593</v>
      </c>
      <c r="B64" s="913"/>
      <c r="C64" s="913"/>
      <c r="D64" s="913"/>
      <c r="E64" s="913"/>
      <c r="F64" s="913"/>
    </row>
    <row r="65" spans="1:6" ht="32.25" thickTop="1">
      <c r="A65" s="33">
        <v>6</v>
      </c>
      <c r="B65" s="30" t="s">
        <v>212</v>
      </c>
      <c r="C65" s="19">
        <f>200-4</f>
        <v>196</v>
      </c>
      <c r="D65" s="152">
        <v>0</v>
      </c>
      <c r="E65" s="152">
        <v>0</v>
      </c>
      <c r="F65" s="136">
        <f aca="true" t="shared" si="2" ref="F65:F71">C65+D65+E65</f>
        <v>196</v>
      </c>
    </row>
    <row r="66" spans="1:8" s="107" customFormat="1" ht="15.75">
      <c r="A66" s="50">
        <v>80</v>
      </c>
      <c r="B66" s="45" t="s">
        <v>28</v>
      </c>
      <c r="C66" s="19">
        <f>110+73</f>
        <v>183</v>
      </c>
      <c r="D66" s="135">
        <v>0</v>
      </c>
      <c r="E66" s="135">
        <v>0</v>
      </c>
      <c r="F66" s="91">
        <f t="shared" si="2"/>
        <v>183</v>
      </c>
      <c r="G66" s="95"/>
      <c r="H66" s="95"/>
    </row>
    <row r="67" spans="1:8" s="107" customFormat="1" ht="15.75">
      <c r="A67" s="283">
        <v>21</v>
      </c>
      <c r="B67" s="45" t="s">
        <v>213</v>
      </c>
      <c r="C67" s="284">
        <f>30-28</f>
        <v>2</v>
      </c>
      <c r="D67" s="135"/>
      <c r="E67" s="135"/>
      <c r="F67" s="91">
        <f t="shared" si="2"/>
        <v>2</v>
      </c>
      <c r="G67" s="95"/>
      <c r="H67" s="95"/>
    </row>
    <row r="68" spans="1:8" s="107" customFormat="1" ht="15.75">
      <c r="A68" s="283">
        <v>77</v>
      </c>
      <c r="B68" s="45" t="s">
        <v>46</v>
      </c>
      <c r="C68" s="284">
        <v>0</v>
      </c>
      <c r="D68" s="135">
        <v>0</v>
      </c>
      <c r="E68" s="135">
        <v>0</v>
      </c>
      <c r="F68" s="91">
        <f t="shared" si="2"/>
        <v>0</v>
      </c>
      <c r="G68" s="95"/>
      <c r="H68" s="95"/>
    </row>
    <row r="69" spans="1:8" s="107" customFormat="1" ht="15.75">
      <c r="A69" s="283">
        <v>50</v>
      </c>
      <c r="B69" s="45" t="s">
        <v>324</v>
      </c>
      <c r="C69" s="284">
        <f>30+30-12</f>
        <v>48</v>
      </c>
      <c r="D69" s="155"/>
      <c r="E69" s="155"/>
      <c r="F69" s="91">
        <f t="shared" si="2"/>
        <v>48</v>
      </c>
      <c r="G69" s="95"/>
      <c r="H69" s="95"/>
    </row>
    <row r="70" spans="1:6" ht="16.5" thickBot="1">
      <c r="A70" s="38">
        <v>29</v>
      </c>
      <c r="B70" s="51" t="s">
        <v>48</v>
      </c>
      <c r="C70" s="361">
        <f>50-29</f>
        <v>21</v>
      </c>
      <c r="D70" s="153">
        <v>0</v>
      </c>
      <c r="E70" s="153">
        <v>0</v>
      </c>
      <c r="F70" s="150">
        <f t="shared" si="2"/>
        <v>21</v>
      </c>
    </row>
    <row r="71" spans="1:10" ht="17.25" thickBot="1" thickTop="1">
      <c r="A71" s="258"/>
      <c r="B71" s="47" t="s">
        <v>6</v>
      </c>
      <c r="C71" s="116">
        <f>SUM(C65:C70)</f>
        <v>450</v>
      </c>
      <c r="D71" s="116">
        <f>SUM(D65:D70)</f>
        <v>0</v>
      </c>
      <c r="E71" s="116">
        <f>SUM(E65:E70)</f>
        <v>0</v>
      </c>
      <c r="F71" s="151">
        <f t="shared" si="2"/>
        <v>450</v>
      </c>
      <c r="I71" s="100"/>
      <c r="J71" s="100"/>
    </row>
    <row r="72" spans="1:6" ht="17.25" hidden="1" thickBot="1" thickTop="1">
      <c r="A72" s="911"/>
      <c r="B72" s="912"/>
      <c r="C72" s="912"/>
      <c r="D72" s="912"/>
      <c r="E72" s="912"/>
      <c r="F72" s="912"/>
    </row>
    <row r="73" spans="1:6" ht="16.5" hidden="1" thickTop="1">
      <c r="A73" s="29"/>
      <c r="B73" s="30"/>
      <c r="C73" s="15"/>
      <c r="D73" s="152"/>
      <c r="E73" s="152"/>
      <c r="F73" s="145"/>
    </row>
    <row r="74" spans="1:6" ht="15.75" hidden="1">
      <c r="A74" s="36"/>
      <c r="B74" s="37"/>
      <c r="C74" s="13"/>
      <c r="D74" s="135"/>
      <c r="E74" s="135"/>
      <c r="F74" s="146"/>
    </row>
    <row r="75" spans="1:6" ht="15.75" hidden="1">
      <c r="A75" s="36"/>
      <c r="B75" s="37"/>
      <c r="C75" s="13"/>
      <c r="D75" s="135"/>
      <c r="E75" s="135"/>
      <c r="F75" s="146"/>
    </row>
    <row r="76" spans="1:6" ht="15.75" hidden="1">
      <c r="A76" s="29"/>
      <c r="B76" s="30"/>
      <c r="C76" s="15"/>
      <c r="D76" s="142"/>
      <c r="E76" s="135"/>
      <c r="F76" s="145"/>
    </row>
    <row r="77" spans="1:6" ht="15.75" hidden="1">
      <c r="A77" s="53"/>
      <c r="B77" s="37"/>
      <c r="C77" s="13"/>
      <c r="D77" s="135"/>
      <c r="E77" s="135"/>
      <c r="F77" s="146"/>
    </row>
    <row r="78" spans="1:6" ht="16.5" hidden="1" thickBot="1">
      <c r="A78" s="54"/>
      <c r="B78" s="46"/>
      <c r="C78" s="20"/>
      <c r="D78" s="135"/>
      <c r="E78" s="135"/>
      <c r="F78" s="156"/>
    </row>
    <row r="79" spans="1:10" ht="17.25" hidden="1" thickBot="1" thickTop="1">
      <c r="A79" s="31"/>
      <c r="B79" s="32"/>
      <c r="C79" s="109"/>
      <c r="D79" s="143"/>
      <c r="E79" s="143"/>
      <c r="F79" s="83"/>
      <c r="H79" s="100"/>
      <c r="I79" s="100"/>
      <c r="J79" s="100"/>
    </row>
    <row r="80" spans="1:6" ht="17.25" hidden="1" thickBot="1" thickTop="1">
      <c r="A80" s="911"/>
      <c r="B80" s="912"/>
      <c r="C80" s="912"/>
      <c r="D80" s="912"/>
      <c r="E80" s="912"/>
      <c r="F80" s="912"/>
    </row>
    <row r="81" spans="1:6" ht="16.5" hidden="1" thickTop="1">
      <c r="A81" s="33"/>
      <c r="B81" s="48"/>
      <c r="C81" s="24"/>
      <c r="D81" s="152"/>
      <c r="E81" s="152"/>
      <c r="F81" s="139"/>
    </row>
    <row r="82" spans="1:6" ht="15.75" hidden="1">
      <c r="A82" s="36"/>
      <c r="B82" s="49"/>
      <c r="C82" s="13"/>
      <c r="D82" s="134"/>
      <c r="E82" s="134"/>
      <c r="F82" s="146"/>
    </row>
    <row r="83" spans="1:6" ht="15.75" hidden="1">
      <c r="A83" s="36"/>
      <c r="B83" s="49"/>
      <c r="C83" s="13"/>
      <c r="D83" s="135"/>
      <c r="E83" s="135"/>
      <c r="F83" s="146"/>
    </row>
    <row r="84" spans="1:6" ht="15.75" hidden="1">
      <c r="A84" s="44"/>
      <c r="B84" s="37"/>
      <c r="C84" s="13"/>
      <c r="D84" s="142"/>
      <c r="E84" s="142"/>
      <c r="F84" s="146"/>
    </row>
    <row r="85" spans="1:6" ht="16.5" hidden="1" thickBot="1">
      <c r="A85" s="44"/>
      <c r="B85" s="55"/>
      <c r="C85" s="20"/>
      <c r="D85" s="153"/>
      <c r="E85" s="155"/>
      <c r="F85" s="156"/>
    </row>
    <row r="86" spans="1:10" ht="17.25" hidden="1" thickBot="1" thickTop="1">
      <c r="A86" s="31"/>
      <c r="B86" s="28"/>
      <c r="C86" s="109"/>
      <c r="D86" s="143"/>
      <c r="E86" s="143"/>
      <c r="F86" s="83"/>
      <c r="H86" s="100"/>
      <c r="J86" s="100"/>
    </row>
    <row r="87" spans="1:6" ht="17.25" customHeight="1" hidden="1" thickBot="1" thickTop="1">
      <c r="A87" s="911"/>
      <c r="B87" s="912"/>
      <c r="C87" s="912"/>
      <c r="D87" s="912"/>
      <c r="E87" s="912"/>
      <c r="F87" s="912"/>
    </row>
    <row r="88" spans="1:6" ht="16.5" hidden="1" thickTop="1">
      <c r="A88" s="21"/>
      <c r="B88" s="34"/>
      <c r="C88" s="13"/>
      <c r="D88" s="152"/>
      <c r="E88" s="152"/>
      <c r="F88" s="146"/>
    </row>
    <row r="89" spans="1:6" ht="15.75" hidden="1">
      <c r="A89" s="36"/>
      <c r="B89" s="37"/>
      <c r="C89" s="13"/>
      <c r="D89" s="144"/>
      <c r="E89" s="144"/>
      <c r="F89" s="146"/>
    </row>
    <row r="90" spans="1:6" ht="15.75" hidden="1">
      <c r="A90" s="36"/>
      <c r="B90" s="37"/>
      <c r="C90" s="96"/>
      <c r="D90" s="144"/>
      <c r="E90" s="144"/>
      <c r="F90" s="146"/>
    </row>
    <row r="91" spans="1:6" ht="15.75" hidden="1">
      <c r="A91" s="36"/>
      <c r="B91" s="37"/>
      <c r="C91" s="13"/>
      <c r="D91" s="142"/>
      <c r="E91" s="142"/>
      <c r="F91" s="146"/>
    </row>
    <row r="92" spans="1:6" ht="16.5" hidden="1" thickBot="1">
      <c r="A92" s="54"/>
      <c r="B92" s="46"/>
      <c r="C92" s="59"/>
      <c r="D92" s="153"/>
      <c r="E92" s="153"/>
      <c r="F92" s="154"/>
    </row>
    <row r="93" spans="1:14" ht="17.25" hidden="1" thickBot="1" thickTop="1">
      <c r="A93" s="31"/>
      <c r="B93" s="32"/>
      <c r="C93" s="109"/>
      <c r="D93" s="143"/>
      <c r="E93" s="143"/>
      <c r="F93" s="83"/>
      <c r="H93" s="100"/>
      <c r="J93" s="100"/>
      <c r="M93" s="100"/>
      <c r="N93" s="100"/>
    </row>
    <row r="94" spans="1:6" ht="17.25" hidden="1" thickBot="1" thickTop="1">
      <c r="A94" s="911"/>
      <c r="B94" s="912"/>
      <c r="C94" s="912"/>
      <c r="D94" s="912"/>
      <c r="E94" s="912"/>
      <c r="F94" s="912"/>
    </row>
    <row r="95" spans="1:13" ht="16.5" hidden="1" thickTop="1">
      <c r="A95" s="36"/>
      <c r="B95" s="49"/>
      <c r="C95" s="13"/>
      <c r="D95" s="152"/>
      <c r="E95" s="152"/>
      <c r="F95" s="146"/>
      <c r="H95" s="100"/>
      <c r="I95" s="100"/>
      <c r="J95" s="100"/>
      <c r="K95" s="100"/>
      <c r="L95" s="100"/>
      <c r="M95" s="100"/>
    </row>
    <row r="96" spans="1:6" ht="15.75" hidden="1">
      <c r="A96" s="29"/>
      <c r="B96" s="56"/>
      <c r="C96" s="15"/>
      <c r="D96" s="144"/>
      <c r="E96" s="144"/>
      <c r="F96" s="145"/>
    </row>
    <row r="97" spans="1:6" ht="15.75" hidden="1">
      <c r="A97" s="36"/>
      <c r="B97" s="49"/>
      <c r="C97" s="13"/>
      <c r="D97" s="142"/>
      <c r="E97" s="142"/>
      <c r="F97" s="146"/>
    </row>
    <row r="98" spans="1:12" ht="16.5" hidden="1" thickBot="1">
      <c r="A98" s="38"/>
      <c r="B98" s="51"/>
      <c r="C98" s="59"/>
      <c r="D98" s="153"/>
      <c r="E98" s="153"/>
      <c r="F98" s="154"/>
      <c r="H98" s="100"/>
      <c r="L98" s="100"/>
    </row>
    <row r="99" spans="1:12" ht="17.25" hidden="1" thickBot="1" thickTop="1">
      <c r="A99" s="39"/>
      <c r="B99" s="52"/>
      <c r="C99" s="114"/>
      <c r="D99" s="143"/>
      <c r="E99" s="147"/>
      <c r="F99" s="149"/>
      <c r="H99" s="100"/>
      <c r="I99" s="100"/>
      <c r="J99" s="100"/>
      <c r="K99" s="100"/>
      <c r="L99" s="100"/>
    </row>
    <row r="100" spans="1:6" ht="17.25" hidden="1" thickBot="1" thickTop="1">
      <c r="A100" s="911"/>
      <c r="B100" s="912"/>
      <c r="C100" s="912"/>
      <c r="D100" s="912"/>
      <c r="E100" s="912"/>
      <c r="F100" s="912"/>
    </row>
    <row r="101" spans="1:6" ht="16.5" hidden="1" thickTop="1">
      <c r="A101" s="33"/>
      <c r="B101" s="34"/>
      <c r="C101" s="24"/>
      <c r="D101" s="152"/>
      <c r="E101" s="152"/>
      <c r="F101" s="139"/>
    </row>
    <row r="102" spans="1:6" ht="15.75" hidden="1">
      <c r="A102" s="36"/>
      <c r="B102" s="37"/>
      <c r="C102" s="13"/>
      <c r="D102" s="144"/>
      <c r="E102" s="144"/>
      <c r="F102" s="146"/>
    </row>
    <row r="103" spans="1:6" ht="15.75" hidden="1">
      <c r="A103" s="36"/>
      <c r="B103" s="37"/>
      <c r="C103" s="13"/>
      <c r="D103" s="144"/>
      <c r="E103" s="144"/>
      <c r="F103" s="146"/>
    </row>
    <row r="104" spans="1:6" ht="15.75" hidden="1">
      <c r="A104" s="36"/>
      <c r="B104" s="37"/>
      <c r="C104" s="13"/>
      <c r="D104" s="142"/>
      <c r="E104" s="144"/>
      <c r="F104" s="146"/>
    </row>
    <row r="105" spans="1:6" ht="16.5" hidden="1" thickBot="1">
      <c r="A105" s="44"/>
      <c r="B105" s="46"/>
      <c r="C105" s="59"/>
      <c r="D105" s="153"/>
      <c r="E105" s="153"/>
      <c r="F105" s="154"/>
    </row>
    <row r="106" spans="1:14" ht="17.25" hidden="1" thickBot="1" thickTop="1">
      <c r="A106" s="31"/>
      <c r="B106" s="32"/>
      <c r="C106" s="118"/>
      <c r="D106" s="143"/>
      <c r="E106" s="143"/>
      <c r="F106" s="83"/>
      <c r="H106" s="100"/>
      <c r="I106" s="100"/>
      <c r="J106" s="100"/>
      <c r="M106" s="100"/>
      <c r="N106" s="100"/>
    </row>
    <row r="107" spans="1:6" ht="17.25" hidden="1" thickBot="1" thickTop="1">
      <c r="A107" s="911"/>
      <c r="B107" s="912"/>
      <c r="C107" s="912"/>
      <c r="D107" s="912"/>
      <c r="E107" s="912"/>
      <c r="F107" s="912"/>
    </row>
    <row r="108" spans="1:6" ht="16.5" hidden="1" thickTop="1">
      <c r="A108" s="36"/>
      <c r="B108" s="49"/>
      <c r="C108" s="13"/>
      <c r="D108" s="152"/>
      <c r="E108" s="152"/>
      <c r="F108" s="146"/>
    </row>
    <row r="109" spans="1:6" ht="15.75" hidden="1">
      <c r="A109" s="29"/>
      <c r="B109" s="56"/>
      <c r="C109" s="97"/>
      <c r="D109" s="144"/>
      <c r="E109" s="144"/>
      <c r="F109" s="145"/>
    </row>
    <row r="110" spans="1:6" ht="15.75" hidden="1">
      <c r="A110" s="44"/>
      <c r="B110" s="49"/>
      <c r="C110" s="20"/>
      <c r="D110" s="142"/>
      <c r="E110" s="142"/>
      <c r="F110" s="146"/>
    </row>
    <row r="111" spans="1:6" ht="15.75" hidden="1">
      <c r="A111" s="36"/>
      <c r="B111" s="49"/>
      <c r="C111" s="13"/>
      <c r="D111" s="135"/>
      <c r="E111" s="144"/>
      <c r="F111" s="145"/>
    </row>
    <row r="112" spans="1:6" ht="16.5" hidden="1" thickBot="1">
      <c r="A112" s="59"/>
      <c r="B112" s="60"/>
      <c r="C112" s="59"/>
      <c r="D112" s="153"/>
      <c r="E112" s="157"/>
      <c r="F112" s="158"/>
    </row>
    <row r="113" spans="1:14" ht="17.25" hidden="1" thickBot="1" thickTop="1">
      <c r="A113" s="31"/>
      <c r="B113" s="28"/>
      <c r="C113" s="109"/>
      <c r="D113" s="143"/>
      <c r="E113" s="143"/>
      <c r="F113" s="83"/>
      <c r="H113" s="100"/>
      <c r="I113" s="100"/>
      <c r="J113" s="100"/>
      <c r="M113" s="100"/>
      <c r="N113" s="100"/>
    </row>
    <row r="114" spans="1:14" ht="17.25" hidden="1" thickBot="1" thickTop="1">
      <c r="A114" s="911"/>
      <c r="B114" s="912"/>
      <c r="C114" s="912"/>
      <c r="D114" s="912"/>
      <c r="E114" s="912"/>
      <c r="F114" s="912"/>
      <c r="H114" s="100"/>
      <c r="I114" s="100"/>
      <c r="J114" s="100"/>
      <c r="M114" s="100"/>
      <c r="N114" s="100"/>
    </row>
    <row r="115" spans="1:14" ht="16.5" hidden="1" thickTop="1">
      <c r="A115" s="33"/>
      <c r="B115" s="34"/>
      <c r="C115" s="24"/>
      <c r="D115" s="152"/>
      <c r="E115" s="152"/>
      <c r="F115" s="139"/>
      <c r="H115" s="100"/>
      <c r="I115" s="100"/>
      <c r="J115" s="100"/>
      <c r="M115" s="100"/>
      <c r="N115" s="100"/>
    </row>
    <row r="116" spans="1:14" ht="15.75" hidden="1">
      <c r="A116" s="29"/>
      <c r="B116" s="57"/>
      <c r="C116" s="68"/>
      <c r="D116" s="170"/>
      <c r="E116" s="170"/>
      <c r="F116" s="169"/>
      <c r="H116" s="100"/>
      <c r="I116" s="100"/>
      <c r="J116" s="100"/>
      <c r="M116" s="100"/>
      <c r="N116" s="100"/>
    </row>
    <row r="117" spans="1:14" ht="15.75" hidden="1">
      <c r="A117" s="36"/>
      <c r="B117" s="37"/>
      <c r="C117" s="13"/>
      <c r="D117" s="144"/>
      <c r="E117" s="144"/>
      <c r="F117" s="146"/>
      <c r="H117" s="100"/>
      <c r="I117" s="100"/>
      <c r="J117" s="100"/>
      <c r="M117" s="100"/>
      <c r="N117" s="100"/>
    </row>
    <row r="118" spans="1:14" ht="15.75" hidden="1">
      <c r="A118" s="36"/>
      <c r="B118" s="37"/>
      <c r="C118" s="13"/>
      <c r="D118" s="142"/>
      <c r="E118" s="144"/>
      <c r="F118" s="146"/>
      <c r="H118" s="100"/>
      <c r="I118" s="100"/>
      <c r="J118" s="100"/>
      <c r="M118" s="100"/>
      <c r="N118" s="100"/>
    </row>
    <row r="119" spans="1:14" ht="16.5" hidden="1" thickBot="1">
      <c r="A119" s="44"/>
      <c r="B119" s="46"/>
      <c r="C119" s="59"/>
      <c r="D119" s="153"/>
      <c r="E119" s="153"/>
      <c r="F119" s="154"/>
      <c r="H119" s="100"/>
      <c r="I119" s="100"/>
      <c r="J119" s="100"/>
      <c r="M119" s="100"/>
      <c r="N119" s="100"/>
    </row>
    <row r="120" spans="1:14" ht="17.25" hidden="1" thickBot="1" thickTop="1">
      <c r="A120" s="31"/>
      <c r="B120" s="32"/>
      <c r="C120" s="118"/>
      <c r="D120" s="143"/>
      <c r="E120" s="143"/>
      <c r="F120" s="83"/>
      <c r="H120" s="100"/>
      <c r="I120" s="100"/>
      <c r="J120" s="100"/>
      <c r="M120" s="100"/>
      <c r="N120" s="100"/>
    </row>
    <row r="121" spans="1:10" ht="48" thickTop="1">
      <c r="A121" s="33"/>
      <c r="B121" s="22" t="s">
        <v>281</v>
      </c>
      <c r="C121" s="137">
        <f>C113+C106+C99+C93+C86+C79+C71+C63+C57+C54+C46+C40+C34+C120</f>
        <v>5628</v>
      </c>
      <c r="D121" s="138">
        <f>D113+D106+D99+D93+D86+D79+D71+D63+D57+D54+D46+D40+D34+D120</f>
        <v>3530</v>
      </c>
      <c r="E121" s="138">
        <f>E113+E106+E99+E93+E86+E79+E71+E63+E57+E54+E46+E40+E34+E120</f>
        <v>253</v>
      </c>
      <c r="F121" s="139">
        <f>F113+F106+F99+F93+F86+F79+F71+F63+F57+F54+F46+F40+F34+F120</f>
        <v>9411</v>
      </c>
      <c r="H121" s="100"/>
      <c r="I121" s="100"/>
      <c r="J121" s="100"/>
    </row>
    <row r="122" spans="1:10" ht="32.25" thickBot="1">
      <c r="A122" s="27"/>
      <c r="B122" s="127" t="s">
        <v>158</v>
      </c>
      <c r="C122" s="165">
        <f>C35+C41</f>
        <v>1687</v>
      </c>
      <c r="D122" s="166">
        <f>D35+D41</f>
        <v>32</v>
      </c>
      <c r="E122" s="166">
        <f>E35+E41</f>
        <v>0</v>
      </c>
      <c r="F122" s="167">
        <f>C122+D122+E122</f>
        <v>1719</v>
      </c>
      <c r="H122" s="100"/>
      <c r="I122" s="100"/>
      <c r="J122" s="100"/>
    </row>
    <row r="123" spans="1:6" s="751" customFormat="1" ht="17.25" thickBot="1" thickTop="1">
      <c r="A123" s="921" t="s">
        <v>230</v>
      </c>
      <c r="B123" s="913"/>
      <c r="C123" s="913"/>
      <c r="D123" s="913"/>
      <c r="E123" s="913"/>
      <c r="F123" s="913"/>
    </row>
    <row r="124" spans="1:8" ht="27" customHeight="1" thickTop="1">
      <c r="A124" s="1">
        <v>8</v>
      </c>
      <c r="B124" s="2" t="s">
        <v>53</v>
      </c>
      <c r="C124" s="159">
        <v>15</v>
      </c>
      <c r="D124" s="135">
        <v>0</v>
      </c>
      <c r="E124" s="157">
        <v>0</v>
      </c>
      <c r="F124" s="158">
        <f>C124+D124+E124</f>
        <v>15</v>
      </c>
      <c r="H124" s="100"/>
    </row>
    <row r="125" spans="1:8" ht="16.5" thickBot="1">
      <c r="A125" s="38"/>
      <c r="B125" s="61" t="s">
        <v>55</v>
      </c>
      <c r="C125" s="160">
        <f>C124</f>
        <v>15</v>
      </c>
      <c r="D125" s="161">
        <f>D124</f>
        <v>0</v>
      </c>
      <c r="E125" s="161">
        <f>E124</f>
        <v>0</v>
      </c>
      <c r="F125" s="150">
        <f>F124</f>
        <v>15</v>
      </c>
      <c r="H125" s="100"/>
    </row>
    <row r="126" spans="1:6" ht="17.25" thickBot="1" thickTop="1">
      <c r="A126" s="921" t="s">
        <v>337</v>
      </c>
      <c r="B126" s="913"/>
      <c r="C126" s="913"/>
      <c r="D126" s="913"/>
      <c r="E126" s="913"/>
      <c r="F126" s="913"/>
    </row>
    <row r="127" spans="1:6" ht="31.5" customHeight="1" thickTop="1">
      <c r="A127" s="8">
        <v>8</v>
      </c>
      <c r="B127" s="2" t="s">
        <v>53</v>
      </c>
      <c r="C127" s="159">
        <v>8</v>
      </c>
      <c r="D127" s="135">
        <v>0</v>
      </c>
      <c r="E127" s="157">
        <v>0</v>
      </c>
      <c r="F127" s="158">
        <f>C127+D127+E127</f>
        <v>8</v>
      </c>
    </row>
    <row r="128" spans="1:6" ht="16.5" thickBot="1">
      <c r="A128" s="38"/>
      <c r="B128" s="61" t="s">
        <v>6</v>
      </c>
      <c r="C128" s="160">
        <f>C127</f>
        <v>8</v>
      </c>
      <c r="D128" s="161">
        <f>D127</f>
        <v>0</v>
      </c>
      <c r="E128" s="161">
        <f>E127</f>
        <v>0</v>
      </c>
      <c r="F128" s="150">
        <f>F127</f>
        <v>8</v>
      </c>
    </row>
    <row r="129" spans="1:6" ht="22.5" customHeight="1" thickBot="1" thickTop="1">
      <c r="A129" s="921" t="s">
        <v>568</v>
      </c>
      <c r="B129" s="913"/>
      <c r="C129" s="913"/>
      <c r="D129" s="913"/>
      <c r="E129" s="913"/>
      <c r="F129" s="913"/>
    </row>
    <row r="130" spans="1:6" ht="16.5" thickTop="1">
      <c r="A130" s="8">
        <v>8</v>
      </c>
      <c r="B130" s="2" t="s">
        <v>53</v>
      </c>
      <c r="C130" s="159">
        <v>3</v>
      </c>
      <c r="D130" s="135">
        <v>0</v>
      </c>
      <c r="E130" s="157">
        <v>0</v>
      </c>
      <c r="F130" s="158">
        <f>C130+D130+E130</f>
        <v>3</v>
      </c>
    </row>
    <row r="131" spans="1:6" ht="16.5" thickBot="1">
      <c r="A131" s="38"/>
      <c r="B131" s="61" t="s">
        <v>6</v>
      </c>
      <c r="C131" s="160">
        <f>C130</f>
        <v>3</v>
      </c>
      <c r="D131" s="161">
        <f>D130</f>
        <v>0</v>
      </c>
      <c r="E131" s="161">
        <f>E130</f>
        <v>0</v>
      </c>
      <c r="F131" s="150">
        <f>F130</f>
        <v>3</v>
      </c>
    </row>
    <row r="132" spans="1:6" ht="17.25" customHeight="1" thickBot="1" thickTop="1">
      <c r="A132" s="921" t="s">
        <v>594</v>
      </c>
      <c r="B132" s="913"/>
      <c r="C132" s="913"/>
      <c r="D132" s="913"/>
      <c r="E132" s="913"/>
      <c r="F132" s="913"/>
    </row>
    <row r="133" spans="1:6" ht="16.5" thickTop="1">
      <c r="A133" s="8">
        <v>41</v>
      </c>
      <c r="B133" s="2" t="s">
        <v>17</v>
      </c>
      <c r="C133" s="159">
        <v>0</v>
      </c>
      <c r="D133" s="806">
        <v>12</v>
      </c>
      <c r="E133" s="157">
        <v>0</v>
      </c>
      <c r="F133" s="158">
        <f>C133+D133+E133</f>
        <v>12</v>
      </c>
    </row>
    <row r="134" spans="1:6" ht="16.5" thickBot="1">
      <c r="A134" s="38"/>
      <c r="B134" s="61" t="s">
        <v>6</v>
      </c>
      <c r="C134" s="160">
        <f>C133</f>
        <v>0</v>
      </c>
      <c r="D134" s="161">
        <f>D133</f>
        <v>12</v>
      </c>
      <c r="E134" s="161">
        <f>E133</f>
        <v>0</v>
      </c>
      <c r="F134" s="150">
        <f>F133</f>
        <v>12</v>
      </c>
    </row>
    <row r="135" spans="1:6" ht="32.25" thickTop="1">
      <c r="A135" s="757"/>
      <c r="B135" s="758" t="s">
        <v>171</v>
      </c>
      <c r="C135" s="759">
        <f>C134+C131+C128+C125</f>
        <v>26</v>
      </c>
      <c r="D135" s="760">
        <f>D134+D131+D128+D125</f>
        <v>12</v>
      </c>
      <c r="E135" s="760">
        <f>E134+E131+E128+E125</f>
        <v>0</v>
      </c>
      <c r="F135" s="761">
        <f>C135+D135+E135</f>
        <v>38</v>
      </c>
    </row>
    <row r="136" spans="1:6" ht="15.75">
      <c r="A136" s="36"/>
      <c r="B136" s="127" t="s">
        <v>172</v>
      </c>
      <c r="C136" s="165">
        <f>C124+C127+C130</f>
        <v>26</v>
      </c>
      <c r="D136" s="166">
        <f>D124+D127+D130</f>
        <v>0</v>
      </c>
      <c r="E136" s="166">
        <f>E124+E127+E130</f>
        <v>0</v>
      </c>
      <c r="F136" s="167">
        <f>F124+F127+F130</f>
        <v>26</v>
      </c>
    </row>
    <row r="137" spans="1:6" ht="31.5">
      <c r="A137" s="27"/>
      <c r="B137" s="127" t="s">
        <v>158</v>
      </c>
      <c r="C137" s="165">
        <v>0</v>
      </c>
      <c r="D137" s="166">
        <v>0</v>
      </c>
      <c r="E137" s="166">
        <v>0</v>
      </c>
      <c r="F137" s="167">
        <f>C137+D137+E137</f>
        <v>0</v>
      </c>
    </row>
    <row r="138" spans="1:6" ht="16.5" thickBot="1">
      <c r="A138" s="27"/>
      <c r="B138" s="127" t="s">
        <v>163</v>
      </c>
      <c r="C138" s="165">
        <f>C18+C19+C62</f>
        <v>0</v>
      </c>
      <c r="D138" s="166">
        <f>D18+D19+D62</f>
        <v>335</v>
      </c>
      <c r="E138" s="166">
        <f>E18+E19+E62</f>
        <v>0</v>
      </c>
      <c r="F138" s="167">
        <f>F18+F19+F62</f>
        <v>335</v>
      </c>
    </row>
    <row r="139" spans="1:6" ht="33" customHeight="1" thickBot="1" thickTop="1">
      <c r="A139" s="921" t="s">
        <v>455</v>
      </c>
      <c r="B139" s="913"/>
      <c r="C139" s="913"/>
      <c r="D139" s="913"/>
      <c r="E139" s="913"/>
      <c r="F139" s="913"/>
    </row>
    <row r="140" spans="1:6" ht="79.5" thickTop="1">
      <c r="A140" s="33"/>
      <c r="B140" s="22" t="s">
        <v>174</v>
      </c>
      <c r="C140" s="347">
        <f>475+7</f>
        <v>482</v>
      </c>
      <c r="D140" s="138">
        <v>0</v>
      </c>
      <c r="E140" s="171">
        <v>0</v>
      </c>
      <c r="F140" s="344">
        <f>C140+D140+E140</f>
        <v>482</v>
      </c>
    </row>
    <row r="141" spans="1:6" ht="15.75">
      <c r="A141" s="36"/>
      <c r="B141" s="127" t="s">
        <v>172</v>
      </c>
      <c r="C141" s="238">
        <v>67</v>
      </c>
      <c r="D141" s="166">
        <v>0</v>
      </c>
      <c r="E141" s="166">
        <v>0</v>
      </c>
      <c r="F141" s="167">
        <f aca="true" t="shared" si="3" ref="F141:F146">C141+D141+E141</f>
        <v>67</v>
      </c>
    </row>
    <row r="142" spans="1:6" ht="31.5">
      <c r="A142" s="53"/>
      <c r="B142" s="127" t="s">
        <v>158</v>
      </c>
      <c r="C142" s="238">
        <v>31</v>
      </c>
      <c r="D142" s="166">
        <v>0</v>
      </c>
      <c r="E142" s="166">
        <v>0</v>
      </c>
      <c r="F142" s="167">
        <f t="shared" si="3"/>
        <v>31</v>
      </c>
    </row>
    <row r="143" spans="1:6" ht="16.5" thickBot="1">
      <c r="A143" s="27"/>
      <c r="B143" s="127" t="s">
        <v>163</v>
      </c>
      <c r="C143" s="238">
        <v>7</v>
      </c>
      <c r="D143" s="166">
        <v>0</v>
      </c>
      <c r="E143" s="166">
        <v>0</v>
      </c>
      <c r="F143" s="167">
        <f t="shared" si="3"/>
        <v>7</v>
      </c>
    </row>
    <row r="144" spans="1:10" ht="58.5" customHeight="1" thickTop="1">
      <c r="A144" s="757"/>
      <c r="B144" s="762" t="s">
        <v>173</v>
      </c>
      <c r="C144" s="763">
        <f>C140+C135+C121</f>
        <v>6136</v>
      </c>
      <c r="D144" s="760">
        <f>D140+D135+D121</f>
        <v>3542</v>
      </c>
      <c r="E144" s="760">
        <f>E140+E135+E121</f>
        <v>253</v>
      </c>
      <c r="F144" s="764">
        <f>C144+D144+E144</f>
        <v>9931</v>
      </c>
      <c r="G144" s="162">
        <f>9589+342</f>
        <v>9931</v>
      </c>
      <c r="H144" s="162">
        <f>G144-F144</f>
        <v>0</v>
      </c>
      <c r="I144" s="100">
        <f>F34+F46+F54+F63+F71+F125+F128+F131+F140</f>
        <v>9919</v>
      </c>
      <c r="J144" s="100"/>
    </row>
    <row r="145" spans="1:10" ht="18" customHeight="1">
      <c r="A145" s="36"/>
      <c r="B145" s="127" t="s">
        <v>172</v>
      </c>
      <c r="C145" s="165">
        <f>C141+C136</f>
        <v>93</v>
      </c>
      <c r="D145" s="166">
        <f>D141+D136</f>
        <v>0</v>
      </c>
      <c r="E145" s="166">
        <f>E141+E136</f>
        <v>0</v>
      </c>
      <c r="F145" s="483">
        <f t="shared" si="3"/>
        <v>93</v>
      </c>
      <c r="G145" s="162">
        <v>93</v>
      </c>
      <c r="H145" s="162">
        <f>G145-F145</f>
        <v>0</v>
      </c>
      <c r="I145" s="100"/>
      <c r="J145" s="100"/>
    </row>
    <row r="146" spans="1:10" s="123" customFormat="1" ht="31.5">
      <c r="A146" s="53"/>
      <c r="B146" s="127" t="s">
        <v>158</v>
      </c>
      <c r="C146" s="165">
        <f>C137+C122+C142</f>
        <v>1718</v>
      </c>
      <c r="D146" s="166">
        <f>D137+D122+D142</f>
        <v>32</v>
      </c>
      <c r="E146" s="166">
        <f>E137+E122+E142</f>
        <v>0</v>
      </c>
      <c r="F146" s="483">
        <f t="shared" si="3"/>
        <v>1750</v>
      </c>
      <c r="G146" s="162">
        <v>1750</v>
      </c>
      <c r="H146" s="162">
        <f>G146-F146</f>
        <v>0</v>
      </c>
      <c r="J146" s="100"/>
    </row>
    <row r="147" spans="1:8" ht="15.75">
      <c r="A147" s="27"/>
      <c r="B147" s="127" t="s">
        <v>163</v>
      </c>
      <c r="C147" s="165">
        <f>C143+C138</f>
        <v>7</v>
      </c>
      <c r="D147" s="166">
        <f>D143+D138</f>
        <v>335</v>
      </c>
      <c r="E147" s="166">
        <f>E143+E138</f>
        <v>0</v>
      </c>
      <c r="F147" s="483">
        <f>F143+F138</f>
        <v>342</v>
      </c>
      <c r="G147" s="162">
        <v>342</v>
      </c>
      <c r="H147" s="162">
        <f>G147-F147</f>
        <v>0</v>
      </c>
    </row>
    <row r="148" spans="1:8" ht="46.5" customHeight="1" thickBot="1">
      <c r="A148" s="485"/>
      <c r="B148" s="480" t="s">
        <v>569</v>
      </c>
      <c r="C148" s="481">
        <f>C16</f>
        <v>36</v>
      </c>
      <c r="D148" s="482">
        <f>D16</f>
        <v>0</v>
      </c>
      <c r="E148" s="482">
        <f>E16</f>
        <v>0</v>
      </c>
      <c r="F148" s="484">
        <f>F16</f>
        <v>36</v>
      </c>
      <c r="G148" s="162">
        <v>36</v>
      </c>
      <c r="H148" s="162">
        <f>G148-F148</f>
        <v>0</v>
      </c>
    </row>
    <row r="149" spans="1:7" s="123" customFormat="1" ht="16.5" thickTop="1">
      <c r="A149" s="486"/>
      <c r="B149" s="479" t="s">
        <v>57</v>
      </c>
      <c r="C149" s="144">
        <v>0</v>
      </c>
      <c r="D149" s="144">
        <v>0</v>
      </c>
      <c r="E149" s="144">
        <v>0</v>
      </c>
      <c r="F149" s="144">
        <v>0</v>
      </c>
      <c r="G149" s="64"/>
    </row>
    <row r="150" spans="1:8" ht="15.75">
      <c r="A150" s="66"/>
      <c r="B150" s="9" t="s">
        <v>214</v>
      </c>
      <c r="C150" s="135">
        <f>C10+C11+C48+C50+C124+C65+C127+C130</f>
        <v>1178</v>
      </c>
      <c r="D150" s="135">
        <f>D10+D11+D48+D50+D124+D65+D127+D130</f>
        <v>140</v>
      </c>
      <c r="E150" s="135">
        <f>E10+E11+E48+E50+E124+E65+E127+E130</f>
        <v>0</v>
      </c>
      <c r="F150" s="135">
        <f>F10+F11+F48+F50+F124+F65+F127+F130</f>
        <v>1318</v>
      </c>
      <c r="G150" s="64"/>
      <c r="H150" s="98">
        <f>SUM(C150:E150)-F150</f>
        <v>0</v>
      </c>
    </row>
    <row r="151" spans="1:8" ht="15.75">
      <c r="A151" s="66"/>
      <c r="B151" s="9" t="s">
        <v>14</v>
      </c>
      <c r="C151" s="135">
        <f>0</f>
        <v>0</v>
      </c>
      <c r="D151" s="135">
        <f>0</f>
        <v>0</v>
      </c>
      <c r="E151" s="135">
        <f>0</f>
        <v>0</v>
      </c>
      <c r="F151" s="135">
        <f>0</f>
        <v>0</v>
      </c>
      <c r="G151" s="64"/>
      <c r="H151" s="98">
        <f aca="true" t="shared" si="4" ref="H151:H176">SUM(C151:E151)-F151</f>
        <v>0</v>
      </c>
    </row>
    <row r="152" spans="1:8" ht="15.75">
      <c r="A152" s="66"/>
      <c r="B152" s="9" t="s">
        <v>15</v>
      </c>
      <c r="C152" s="135">
        <f>C12</f>
        <v>64</v>
      </c>
      <c r="D152" s="135">
        <f>D12</f>
        <v>0</v>
      </c>
      <c r="E152" s="135">
        <f>E12</f>
        <v>0</v>
      </c>
      <c r="F152" s="135">
        <f>F12</f>
        <v>64</v>
      </c>
      <c r="G152" s="64"/>
      <c r="H152" s="98">
        <f t="shared" si="4"/>
        <v>0</v>
      </c>
    </row>
    <row r="153" spans="1:8" ht="15.75">
      <c r="A153" s="67"/>
      <c r="B153" s="9" t="s">
        <v>74</v>
      </c>
      <c r="C153" s="135">
        <f>0</f>
        <v>0</v>
      </c>
      <c r="D153" s="135">
        <f>0</f>
        <v>0</v>
      </c>
      <c r="E153" s="135">
        <f>0</f>
        <v>0</v>
      </c>
      <c r="F153" s="135">
        <f>0</f>
        <v>0</v>
      </c>
      <c r="H153" s="98">
        <f t="shared" si="4"/>
        <v>0</v>
      </c>
    </row>
    <row r="154" spans="1:8" ht="15.75">
      <c r="A154" s="66"/>
      <c r="B154" s="9" t="s">
        <v>47</v>
      </c>
      <c r="C154" s="135">
        <f>C14+C15</f>
        <v>203</v>
      </c>
      <c r="D154" s="135">
        <f>D14+D15</f>
        <v>0</v>
      </c>
      <c r="E154" s="135">
        <f>E14+E15</f>
        <v>0</v>
      </c>
      <c r="F154" s="135">
        <f>F14+F15</f>
        <v>203</v>
      </c>
      <c r="H154" s="98">
        <f t="shared" si="4"/>
        <v>0</v>
      </c>
    </row>
    <row r="155" spans="1:8" ht="15.75">
      <c r="A155" s="67"/>
      <c r="B155" s="9" t="s">
        <v>27</v>
      </c>
      <c r="C155" s="135">
        <f aca="true" t="shared" si="5" ref="C155:F156">C16</f>
        <v>36</v>
      </c>
      <c r="D155" s="135">
        <f t="shared" si="5"/>
        <v>0</v>
      </c>
      <c r="E155" s="135">
        <f t="shared" si="5"/>
        <v>0</v>
      </c>
      <c r="F155" s="135">
        <f t="shared" si="5"/>
        <v>36</v>
      </c>
      <c r="H155" s="98">
        <f t="shared" si="4"/>
        <v>0</v>
      </c>
    </row>
    <row r="156" spans="1:8" ht="15.75">
      <c r="A156" s="124"/>
      <c r="B156" s="9" t="s">
        <v>16</v>
      </c>
      <c r="C156" s="135">
        <f t="shared" si="5"/>
        <v>76</v>
      </c>
      <c r="D156" s="135">
        <f t="shared" si="5"/>
        <v>0</v>
      </c>
      <c r="E156" s="135">
        <f t="shared" si="5"/>
        <v>0</v>
      </c>
      <c r="F156" s="135">
        <f t="shared" si="5"/>
        <v>76</v>
      </c>
      <c r="H156" s="98">
        <f t="shared" si="4"/>
        <v>0</v>
      </c>
    </row>
    <row r="157" spans="1:8" ht="15.75">
      <c r="A157" s="124"/>
      <c r="B157" s="9" t="s">
        <v>58</v>
      </c>
      <c r="C157" s="135">
        <f>C70</f>
        <v>21</v>
      </c>
      <c r="D157" s="135">
        <f>D70</f>
        <v>0</v>
      </c>
      <c r="E157" s="135">
        <f>E70</f>
        <v>0</v>
      </c>
      <c r="F157" s="135">
        <f>F70</f>
        <v>21</v>
      </c>
      <c r="H157" s="98">
        <f t="shared" si="4"/>
        <v>0</v>
      </c>
    </row>
    <row r="158" spans="1:8" ht="15.75">
      <c r="A158" s="124"/>
      <c r="B158" s="9" t="s">
        <v>65</v>
      </c>
      <c r="C158" s="135">
        <f>C18+C19+C62</f>
        <v>0</v>
      </c>
      <c r="D158" s="135">
        <f>D18+D19+D62</f>
        <v>335</v>
      </c>
      <c r="E158" s="135">
        <f>E18+E19+E62</f>
        <v>0</v>
      </c>
      <c r="F158" s="135">
        <f>F18+F19+F62</f>
        <v>335</v>
      </c>
      <c r="H158" s="98">
        <f t="shared" si="4"/>
        <v>0</v>
      </c>
    </row>
    <row r="159" spans="1:8" ht="15.75">
      <c r="A159" s="124"/>
      <c r="B159" s="9" t="s">
        <v>25</v>
      </c>
      <c r="C159" s="135">
        <f>C20+C43+C51</f>
        <v>264</v>
      </c>
      <c r="D159" s="135">
        <f>D20+D43+D51</f>
        <v>0</v>
      </c>
      <c r="E159" s="135">
        <f>E20+E43+E51</f>
        <v>0</v>
      </c>
      <c r="F159" s="135">
        <f>F20+F43+F51</f>
        <v>264</v>
      </c>
      <c r="H159" s="98">
        <f t="shared" si="4"/>
        <v>0</v>
      </c>
    </row>
    <row r="160" spans="1:8" ht="15.75">
      <c r="A160" s="124"/>
      <c r="B160" s="9" t="s">
        <v>35</v>
      </c>
      <c r="C160" s="135">
        <f>0</f>
        <v>0</v>
      </c>
      <c r="D160" s="135">
        <f>0</f>
        <v>0</v>
      </c>
      <c r="E160" s="135">
        <f>0</f>
        <v>0</v>
      </c>
      <c r="F160" s="135">
        <f>0</f>
        <v>0</v>
      </c>
      <c r="H160" s="98">
        <f t="shared" si="4"/>
        <v>0</v>
      </c>
    </row>
    <row r="161" spans="1:8" ht="15.75">
      <c r="A161" s="124"/>
      <c r="B161" s="9" t="s">
        <v>17</v>
      </c>
      <c r="C161" s="135">
        <f>C21+C133</f>
        <v>156</v>
      </c>
      <c r="D161" s="135">
        <f>D21+D133</f>
        <v>12</v>
      </c>
      <c r="E161" s="135">
        <f>E21+E133</f>
        <v>0</v>
      </c>
      <c r="F161" s="135">
        <f>F21+F133</f>
        <v>168</v>
      </c>
      <c r="H161" s="98">
        <f t="shared" si="4"/>
        <v>0</v>
      </c>
    </row>
    <row r="162" spans="1:8" ht="15.75">
      <c r="A162" s="124"/>
      <c r="B162" s="9" t="s">
        <v>61</v>
      </c>
      <c r="C162" s="135">
        <v>0</v>
      </c>
      <c r="D162" s="135">
        <v>0</v>
      </c>
      <c r="E162" s="135">
        <v>0</v>
      </c>
      <c r="F162" s="135">
        <v>0</v>
      </c>
      <c r="H162" s="98">
        <f t="shared" si="4"/>
        <v>0</v>
      </c>
    </row>
    <row r="163" spans="1:8" ht="15.75">
      <c r="A163" s="124"/>
      <c r="B163" s="9" t="s">
        <v>215</v>
      </c>
      <c r="C163" s="135">
        <f>C22+C23+C24</f>
        <v>1687</v>
      </c>
      <c r="D163" s="135">
        <f>D22+D23+D24</f>
        <v>32</v>
      </c>
      <c r="E163" s="135">
        <f>E22+E23+E24</f>
        <v>0</v>
      </c>
      <c r="F163" s="135">
        <f>F22+F23+F24</f>
        <v>1719</v>
      </c>
      <c r="H163" s="98">
        <f t="shared" si="4"/>
        <v>0</v>
      </c>
    </row>
    <row r="164" spans="1:8" ht="15.75">
      <c r="A164" s="124"/>
      <c r="B164" s="9" t="s">
        <v>324</v>
      </c>
      <c r="C164" s="135">
        <f>C25+C69</f>
        <v>198</v>
      </c>
      <c r="D164" s="135">
        <f>D25+D69</f>
        <v>0</v>
      </c>
      <c r="E164" s="135">
        <f>E25+E69</f>
        <v>0</v>
      </c>
      <c r="F164" s="135">
        <f>F25+F69</f>
        <v>198</v>
      </c>
      <c r="H164" s="98">
        <f t="shared" si="4"/>
        <v>0</v>
      </c>
    </row>
    <row r="165" spans="1:8" ht="15.75">
      <c r="A165" s="124"/>
      <c r="B165" s="9" t="s">
        <v>18</v>
      </c>
      <c r="C165" s="135">
        <f>C26</f>
        <v>115</v>
      </c>
      <c r="D165" s="135">
        <f>D26</f>
        <v>0</v>
      </c>
      <c r="E165" s="135">
        <f>E26</f>
        <v>0</v>
      </c>
      <c r="F165" s="135">
        <f>F26</f>
        <v>115</v>
      </c>
      <c r="H165" s="98">
        <f t="shared" si="4"/>
        <v>0</v>
      </c>
    </row>
    <row r="166" spans="1:8" ht="15.75">
      <c r="A166" s="125"/>
      <c r="B166" s="9" t="s">
        <v>23</v>
      </c>
      <c r="C166" s="135">
        <f>C27+C44+C52</f>
        <v>327</v>
      </c>
      <c r="D166" s="135">
        <f>D27+D44+D52</f>
        <v>39</v>
      </c>
      <c r="E166" s="135">
        <f>E27+E44+E52</f>
        <v>117</v>
      </c>
      <c r="F166" s="135">
        <f>F27+F44+F52</f>
        <v>483</v>
      </c>
      <c r="H166" s="98">
        <f t="shared" si="4"/>
        <v>0</v>
      </c>
    </row>
    <row r="167" spans="1:8" ht="15.75">
      <c r="A167" s="125"/>
      <c r="B167" s="9" t="s">
        <v>19</v>
      </c>
      <c r="C167" s="135">
        <v>0</v>
      </c>
      <c r="D167" s="135">
        <v>0</v>
      </c>
      <c r="E167" s="135">
        <v>0</v>
      </c>
      <c r="F167" s="135">
        <v>0</v>
      </c>
      <c r="H167" s="98">
        <f t="shared" si="4"/>
        <v>0</v>
      </c>
    </row>
    <row r="168" spans="1:8" ht="15.75">
      <c r="A168" s="125"/>
      <c r="B168" s="9" t="s">
        <v>49</v>
      </c>
      <c r="C168" s="135">
        <f aca="true" t="shared" si="6" ref="C168:F169">C28</f>
        <v>85</v>
      </c>
      <c r="D168" s="135">
        <f t="shared" si="6"/>
        <v>0</v>
      </c>
      <c r="E168" s="135">
        <f t="shared" si="6"/>
        <v>0</v>
      </c>
      <c r="F168" s="135">
        <f t="shared" si="6"/>
        <v>85</v>
      </c>
      <c r="H168" s="98">
        <f t="shared" si="4"/>
        <v>0</v>
      </c>
    </row>
    <row r="169" spans="1:8" ht="15.75">
      <c r="A169" s="125"/>
      <c r="B169" s="9" t="s">
        <v>26</v>
      </c>
      <c r="C169" s="135">
        <f t="shared" si="6"/>
        <v>53</v>
      </c>
      <c r="D169" s="135">
        <f t="shared" si="6"/>
        <v>0</v>
      </c>
      <c r="E169" s="135">
        <f t="shared" si="6"/>
        <v>0</v>
      </c>
      <c r="F169" s="135">
        <f t="shared" si="6"/>
        <v>53</v>
      </c>
      <c r="H169" s="98">
        <f t="shared" si="4"/>
        <v>0</v>
      </c>
    </row>
    <row r="170" spans="1:8" ht="15.75">
      <c r="A170" s="125"/>
      <c r="B170" s="9" t="s">
        <v>20</v>
      </c>
      <c r="C170" s="135">
        <f>C30+C59</f>
        <v>451</v>
      </c>
      <c r="D170" s="135">
        <f>D30+D59</f>
        <v>2624</v>
      </c>
      <c r="E170" s="135">
        <f>E30+E59</f>
        <v>136</v>
      </c>
      <c r="F170" s="135">
        <f>F30+F59</f>
        <v>3211</v>
      </c>
      <c r="H170" s="98">
        <f t="shared" si="4"/>
        <v>0</v>
      </c>
    </row>
    <row r="171" spans="1:8" ht="15.75">
      <c r="A171" s="125"/>
      <c r="B171" s="9" t="s">
        <v>62</v>
      </c>
      <c r="C171" s="135">
        <f>C31</f>
        <v>108</v>
      </c>
      <c r="D171" s="135">
        <f>D31</f>
        <v>0</v>
      </c>
      <c r="E171" s="135">
        <f>E31</f>
        <v>0</v>
      </c>
      <c r="F171" s="135">
        <f>F31</f>
        <v>108</v>
      </c>
      <c r="H171" s="98">
        <f t="shared" si="4"/>
        <v>0</v>
      </c>
    </row>
    <row r="172" spans="1:8" ht="15.75">
      <c r="A172" s="125"/>
      <c r="B172" s="9" t="s">
        <v>46</v>
      </c>
      <c r="C172" s="135">
        <f>C32+C68+C67</f>
        <v>123</v>
      </c>
      <c r="D172" s="135">
        <f>D32+D68+D67</f>
        <v>0</v>
      </c>
      <c r="E172" s="135">
        <f>E32+E68+E67</f>
        <v>0</v>
      </c>
      <c r="F172" s="135">
        <f>F32+F68+F67</f>
        <v>123</v>
      </c>
      <c r="H172" s="98">
        <f t="shared" si="4"/>
        <v>0</v>
      </c>
    </row>
    <row r="173" spans="1:8" ht="15.75">
      <c r="A173" s="125"/>
      <c r="B173" s="9" t="s">
        <v>28</v>
      </c>
      <c r="C173" s="135">
        <f>C33+C60+C66</f>
        <v>485</v>
      </c>
      <c r="D173" s="135">
        <f>D33+D60+D66</f>
        <v>301</v>
      </c>
      <c r="E173" s="135">
        <f>E33+E60+E66</f>
        <v>0</v>
      </c>
      <c r="F173" s="135">
        <f>F33+F60+F66</f>
        <v>786</v>
      </c>
      <c r="H173" s="98">
        <f t="shared" si="4"/>
        <v>0</v>
      </c>
    </row>
    <row r="174" spans="1:8" ht="15.75">
      <c r="A174" s="125"/>
      <c r="B174" s="9" t="s">
        <v>63</v>
      </c>
      <c r="C174" s="135">
        <v>0</v>
      </c>
      <c r="D174" s="135">
        <v>0</v>
      </c>
      <c r="E174" s="135">
        <v>0</v>
      </c>
      <c r="F174" s="135">
        <v>0</v>
      </c>
      <c r="H174" s="98">
        <f t="shared" si="4"/>
        <v>0</v>
      </c>
    </row>
    <row r="175" spans="1:8" ht="15.75">
      <c r="A175" s="125"/>
      <c r="B175" s="9" t="s">
        <v>37</v>
      </c>
      <c r="C175" s="135">
        <v>0</v>
      </c>
      <c r="D175" s="135">
        <v>0</v>
      </c>
      <c r="E175" s="135">
        <v>0</v>
      </c>
      <c r="F175" s="135">
        <v>0</v>
      </c>
      <c r="H175" s="98">
        <f t="shared" si="4"/>
        <v>0</v>
      </c>
    </row>
    <row r="176" spans="1:8" ht="15.75">
      <c r="A176" s="125"/>
      <c r="B176" s="9" t="s">
        <v>21</v>
      </c>
      <c r="C176" s="135">
        <f>C61+C45+C53</f>
        <v>24</v>
      </c>
      <c r="D176" s="135">
        <f>D61+D45+D53</f>
        <v>59</v>
      </c>
      <c r="E176" s="135">
        <f>E61+E45+E53</f>
        <v>0</v>
      </c>
      <c r="F176" s="135">
        <f>F61+F45+F53</f>
        <v>83</v>
      </c>
      <c r="H176" s="98">
        <f t="shared" si="4"/>
        <v>0</v>
      </c>
    </row>
    <row r="177" spans="1:8" ht="31.5">
      <c r="A177" s="125"/>
      <c r="B177" s="89" t="s">
        <v>216</v>
      </c>
      <c r="C177" s="164">
        <f>SUM(C149:C176)</f>
        <v>5654</v>
      </c>
      <c r="D177" s="164">
        <f>SUM(D149:D176)</f>
        <v>3542</v>
      </c>
      <c r="E177" s="164">
        <f>SUM(E149:E176)</f>
        <v>253</v>
      </c>
      <c r="F177" s="164">
        <f>SUM(F149:F176)</f>
        <v>9449</v>
      </c>
      <c r="G177" s="100"/>
      <c r="H177" s="100"/>
    </row>
    <row r="178" spans="1:8" ht="15.75">
      <c r="A178" s="125"/>
      <c r="B178" s="125"/>
      <c r="C178" s="242">
        <f>C144-C140</f>
        <v>5654</v>
      </c>
      <c r="D178" s="242">
        <f>D144-D140</f>
        <v>3542</v>
      </c>
      <c r="E178" s="242">
        <f>E144-E140</f>
        <v>253</v>
      </c>
      <c r="F178" s="242">
        <f>F144-F140</f>
        <v>9449</v>
      </c>
      <c r="G178" s="265">
        <f>F144-F140</f>
        <v>9449</v>
      </c>
      <c r="H178" s="265">
        <f>G178-F178</f>
        <v>0</v>
      </c>
    </row>
    <row r="179" spans="1:6" ht="15">
      <c r="A179" s="125"/>
      <c r="B179" s="125"/>
      <c r="C179" s="242">
        <f>C178-C177</f>
        <v>0</v>
      </c>
      <c r="D179" s="242">
        <f>D178-D177</f>
        <v>0</v>
      </c>
      <c r="E179" s="242">
        <f>E178-E177</f>
        <v>0</v>
      </c>
      <c r="F179" s="242">
        <f>F178-F177</f>
        <v>0</v>
      </c>
    </row>
    <row r="180" spans="1:6" ht="15.75">
      <c r="A180" s="125"/>
      <c r="B180" s="125"/>
      <c r="C180" s="125"/>
      <c r="D180" s="125"/>
      <c r="E180" s="125"/>
      <c r="F180" s="163"/>
    </row>
    <row r="181" spans="1:6" ht="15.75">
      <c r="A181" s="125"/>
      <c r="B181" s="125"/>
      <c r="C181" s="125"/>
      <c r="D181" s="125"/>
      <c r="E181" s="125"/>
      <c r="F181" s="163"/>
    </row>
    <row r="182" spans="1:6" ht="15.75">
      <c r="A182" s="125"/>
      <c r="B182" s="125"/>
      <c r="C182" s="125"/>
      <c r="D182" s="125"/>
      <c r="E182" s="125"/>
      <c r="F182" s="163"/>
    </row>
    <row r="183" spans="1:6" ht="15.75">
      <c r="A183" s="125"/>
      <c r="B183" s="125"/>
      <c r="C183" s="125"/>
      <c r="D183" s="125"/>
      <c r="E183" s="125"/>
      <c r="F183" s="163"/>
    </row>
    <row r="184" spans="1:6" ht="15.75">
      <c r="A184" s="125"/>
      <c r="B184" s="125"/>
      <c r="C184" s="125"/>
      <c r="D184" s="125"/>
      <c r="E184" s="125"/>
      <c r="F184" s="163"/>
    </row>
    <row r="185" spans="1:6" ht="15.75">
      <c r="A185" s="125"/>
      <c r="B185" s="125"/>
      <c r="C185" s="125"/>
      <c r="D185" s="125"/>
      <c r="E185" s="125"/>
      <c r="F185" s="163"/>
    </row>
    <row r="186" spans="1:6" ht="15.75">
      <c r="A186" s="125"/>
      <c r="B186" s="125"/>
      <c r="C186" s="125"/>
      <c r="D186" s="125"/>
      <c r="E186" s="125"/>
      <c r="F186" s="163"/>
    </row>
    <row r="187" spans="1:6" ht="15.75">
      <c r="A187" s="125"/>
      <c r="B187" s="125"/>
      <c r="C187" s="125"/>
      <c r="D187" s="125"/>
      <c r="E187" s="125"/>
      <c r="F187" s="163"/>
    </row>
    <row r="188" spans="1:6" ht="15.75">
      <c r="A188" s="125"/>
      <c r="B188" s="125"/>
      <c r="C188" s="125"/>
      <c r="D188" s="125"/>
      <c r="E188" s="125"/>
      <c r="F188" s="163"/>
    </row>
    <row r="189" spans="1:6" ht="15.75">
      <c r="A189" s="125"/>
      <c r="B189" s="125"/>
      <c r="C189" s="125"/>
      <c r="D189" s="125"/>
      <c r="E189" s="125"/>
      <c r="F189" s="163"/>
    </row>
    <row r="190" spans="1:6" ht="15.75">
      <c r="A190" s="125"/>
      <c r="B190" s="125"/>
      <c r="C190" s="125"/>
      <c r="D190" s="125"/>
      <c r="E190" s="125"/>
      <c r="F190" s="163"/>
    </row>
    <row r="191" spans="1:6" ht="15.75">
      <c r="A191" s="125"/>
      <c r="B191" s="125"/>
      <c r="C191" s="125"/>
      <c r="D191" s="125"/>
      <c r="E191" s="125"/>
      <c r="F191" s="163"/>
    </row>
    <row r="192" spans="1:6" ht="15.75">
      <c r="A192" s="125"/>
      <c r="B192" s="125"/>
      <c r="C192" s="125"/>
      <c r="D192" s="125"/>
      <c r="E192" s="125"/>
      <c r="F192" s="163"/>
    </row>
    <row r="193" spans="1:6" ht="15.75">
      <c r="A193" s="125"/>
      <c r="B193" s="125"/>
      <c r="C193" s="125"/>
      <c r="D193" s="125"/>
      <c r="E193" s="125"/>
      <c r="F193" s="163"/>
    </row>
    <row r="194" spans="1:6" ht="15.75">
      <c r="A194" s="125"/>
      <c r="B194" s="125"/>
      <c r="C194" s="125"/>
      <c r="D194" s="125"/>
      <c r="E194" s="125"/>
      <c r="F194" s="163"/>
    </row>
    <row r="195" spans="1:6" ht="15.75">
      <c r="A195" s="125"/>
      <c r="B195" s="125"/>
      <c r="C195" s="125"/>
      <c r="D195" s="125"/>
      <c r="E195" s="125"/>
      <c r="F195" s="163"/>
    </row>
    <row r="196" spans="1:6" ht="15.75">
      <c r="A196" s="125"/>
      <c r="B196" s="125"/>
      <c r="C196" s="125"/>
      <c r="D196" s="125"/>
      <c r="E196" s="125"/>
      <c r="F196" s="163"/>
    </row>
    <row r="197" spans="1:6" ht="15.75">
      <c r="A197" s="125"/>
      <c r="B197" s="125"/>
      <c r="C197" s="125"/>
      <c r="D197" s="125"/>
      <c r="E197" s="125"/>
      <c r="F197" s="163"/>
    </row>
    <row r="198" spans="1:6" ht="15.75">
      <c r="A198" s="125"/>
      <c r="B198" s="125"/>
      <c r="C198" s="125"/>
      <c r="D198" s="125"/>
      <c r="E198" s="125"/>
      <c r="F198" s="163"/>
    </row>
    <row r="199" spans="1:6" ht="15.75">
      <c r="A199" s="125"/>
      <c r="B199" s="125"/>
      <c r="C199" s="125"/>
      <c r="D199" s="125"/>
      <c r="E199" s="125"/>
      <c r="F199" s="163"/>
    </row>
    <row r="200" spans="1:6" ht="15.75">
      <c r="A200" s="125"/>
      <c r="B200" s="125"/>
      <c r="C200" s="125"/>
      <c r="D200" s="125"/>
      <c r="E200" s="125"/>
      <c r="F200" s="163"/>
    </row>
    <row r="201" spans="1:6" ht="15.75">
      <c r="A201" s="125"/>
      <c r="B201" s="125"/>
      <c r="C201" s="125"/>
      <c r="D201" s="125"/>
      <c r="E201" s="125"/>
      <c r="F201" s="163"/>
    </row>
    <row r="202" spans="1:6" ht="15.75">
      <c r="A202" s="125"/>
      <c r="B202" s="125"/>
      <c r="C202" s="125"/>
      <c r="D202" s="125"/>
      <c r="E202" s="125"/>
      <c r="F202" s="163"/>
    </row>
    <row r="203" spans="1:6" ht="15.75">
      <c r="A203" s="125"/>
      <c r="B203" s="125"/>
      <c r="C203" s="125"/>
      <c r="D203" s="125"/>
      <c r="E203" s="125"/>
      <c r="F203" s="163"/>
    </row>
    <row r="204" spans="1:6" ht="15.75">
      <c r="A204" s="125"/>
      <c r="B204" s="125"/>
      <c r="C204" s="125"/>
      <c r="D204" s="125"/>
      <c r="E204" s="125"/>
      <c r="F204" s="163"/>
    </row>
    <row r="205" spans="1:6" ht="15.75">
      <c r="A205" s="125"/>
      <c r="B205" s="125"/>
      <c r="C205" s="125"/>
      <c r="D205" s="125"/>
      <c r="E205" s="125"/>
      <c r="F205" s="163"/>
    </row>
    <row r="206" spans="1:6" ht="15.75">
      <c r="A206" s="125"/>
      <c r="B206" s="125"/>
      <c r="C206" s="125"/>
      <c r="D206" s="125"/>
      <c r="E206" s="125"/>
      <c r="F206" s="163"/>
    </row>
    <row r="207" spans="1:6" ht="15.75">
      <c r="A207" s="125"/>
      <c r="B207" s="125"/>
      <c r="C207" s="125"/>
      <c r="D207" s="125"/>
      <c r="E207" s="125"/>
      <c r="F207" s="163"/>
    </row>
    <row r="208" spans="1:6" ht="15.75">
      <c r="A208" s="125"/>
      <c r="B208" s="125"/>
      <c r="C208" s="125"/>
      <c r="D208" s="125"/>
      <c r="E208" s="125"/>
      <c r="F208" s="163"/>
    </row>
    <row r="209" spans="1:6" ht="15.75">
      <c r="A209" s="125"/>
      <c r="B209" s="125"/>
      <c r="C209" s="125"/>
      <c r="D209" s="125"/>
      <c r="E209" s="125"/>
      <c r="F209" s="163"/>
    </row>
    <row r="210" spans="1:6" ht="15.75">
      <c r="A210" s="125"/>
      <c r="B210" s="125"/>
      <c r="C210" s="125"/>
      <c r="D210" s="125"/>
      <c r="E210" s="125"/>
      <c r="F210" s="163"/>
    </row>
    <row r="211" spans="1:6" ht="15.75">
      <c r="A211" s="125"/>
      <c r="B211" s="125"/>
      <c r="C211" s="125"/>
      <c r="D211" s="125"/>
      <c r="E211" s="125"/>
      <c r="F211" s="163"/>
    </row>
    <row r="212" spans="1:6" ht="15.75">
      <c r="A212" s="125"/>
      <c r="B212" s="125"/>
      <c r="C212" s="125"/>
      <c r="D212" s="125"/>
      <c r="E212" s="125"/>
      <c r="F212" s="163"/>
    </row>
  </sheetData>
  <sheetProtection/>
  <autoFilter ref="A8:Q156"/>
  <mergeCells count="25">
    <mergeCell ref="A47:F47"/>
    <mergeCell ref="A55:F55"/>
    <mergeCell ref="A58:F58"/>
    <mergeCell ref="A139:F139"/>
    <mergeCell ref="A72:F72"/>
    <mergeCell ref="A80:F80"/>
    <mergeCell ref="A129:F129"/>
    <mergeCell ref="A87:F87"/>
    <mergeCell ref="A94:F94"/>
    <mergeCell ref="A114:F114"/>
    <mergeCell ref="A100:F100"/>
    <mergeCell ref="A107:F107"/>
    <mergeCell ref="A123:F123"/>
    <mergeCell ref="A132:F132"/>
    <mergeCell ref="A126:F126"/>
    <mergeCell ref="A64:F64"/>
    <mergeCell ref="A36:F36"/>
    <mergeCell ref="A42:F42"/>
    <mergeCell ref="A9:F9"/>
    <mergeCell ref="A3:F3"/>
    <mergeCell ref="A5:F5"/>
    <mergeCell ref="A7:A8"/>
    <mergeCell ref="B7:B8"/>
    <mergeCell ref="F7:F8"/>
    <mergeCell ref="C7:E7"/>
  </mergeCells>
  <printOptions/>
  <pageMargins left="0.984251968503937" right="0.3937007874015748" top="0.7480314960629921" bottom="0.5511811023622047" header="0.31496062992125984" footer="0.31496062992125984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22"/>
  <sheetViews>
    <sheetView view="pageBreakPreview" zoomScale="106" zoomScaleSheetLayoutView="106" zoomScalePageLayoutView="0" workbookViewId="0" topLeftCell="A1">
      <selection activeCell="K9" sqref="K9"/>
    </sheetView>
  </sheetViews>
  <sheetFormatPr defaultColWidth="9.140625" defaultRowHeight="12.75"/>
  <cols>
    <col min="1" max="1" width="7.28125" style="3" customWidth="1"/>
    <col min="2" max="2" width="45.421875" style="3" customWidth="1"/>
    <col min="3" max="3" width="18.8515625" style="3" customWidth="1"/>
    <col min="4" max="4" width="11.421875" style="3" bestFit="1" customWidth="1"/>
    <col min="5" max="5" width="9.140625" style="3" customWidth="1"/>
    <col min="6" max="6" width="12.28125" style="3" customWidth="1"/>
    <col min="7" max="7" width="10.28125" style="3" customWidth="1"/>
    <col min="8" max="16384" width="9.140625" style="3" customWidth="1"/>
  </cols>
  <sheetData>
    <row r="1" spans="1:3" ht="12.75">
      <c r="A1" s="240"/>
      <c r="C1" s="240" t="s">
        <v>268</v>
      </c>
    </row>
    <row r="3" spans="2:3" ht="63" customHeight="1">
      <c r="B3" s="931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2024 ГОДУ                                                                                          </v>
      </c>
      <c r="C3" s="931"/>
    </row>
    <row r="4" spans="2:6" ht="15" customHeight="1">
      <c r="B4" s="932" t="s">
        <v>101</v>
      </c>
      <c r="C4" s="932"/>
      <c r="D4" s="4"/>
      <c r="E4" s="4"/>
      <c r="F4" s="5"/>
    </row>
    <row r="5" spans="1:6" ht="15" customHeight="1" thickBot="1">
      <c r="A5" s="765"/>
      <c r="B5" s="765"/>
      <c r="C5" s="765"/>
      <c r="D5" s="4"/>
      <c r="E5" s="4"/>
      <c r="F5" s="5"/>
    </row>
    <row r="6" spans="1:6" ht="34.5" customHeight="1">
      <c r="A6" s="766" t="s">
        <v>68</v>
      </c>
      <c r="B6" s="767" t="s">
        <v>102</v>
      </c>
      <c r="C6" s="768" t="s">
        <v>175</v>
      </c>
      <c r="D6" s="5"/>
      <c r="E6" s="5"/>
      <c r="F6" s="5"/>
    </row>
    <row r="7" spans="1:3" ht="15" customHeight="1">
      <c r="A7" s="769">
        <v>1</v>
      </c>
      <c r="B7" s="721">
        <v>2</v>
      </c>
      <c r="C7" s="770">
        <v>3</v>
      </c>
    </row>
    <row r="8" spans="1:3" ht="20.25" customHeight="1">
      <c r="A8" s="771" t="s">
        <v>395</v>
      </c>
      <c r="B8" s="7" t="s">
        <v>209</v>
      </c>
      <c r="C8" s="329">
        <v>10629</v>
      </c>
    </row>
    <row r="9" spans="1:3" ht="21" customHeight="1">
      <c r="A9" s="772" t="s">
        <v>396</v>
      </c>
      <c r="B9" s="223" t="s">
        <v>393</v>
      </c>
      <c r="C9" s="326">
        <v>25498</v>
      </c>
    </row>
    <row r="10" spans="1:3" s="297" customFormat="1" ht="21" customHeight="1">
      <c r="A10" s="773"/>
      <c r="B10" s="296" t="s">
        <v>394</v>
      </c>
      <c r="C10" s="774">
        <v>10</v>
      </c>
    </row>
    <row r="11" spans="1:4" ht="49.5" customHeight="1">
      <c r="A11" s="775" t="s">
        <v>397</v>
      </c>
      <c r="B11" s="198" t="s">
        <v>164</v>
      </c>
      <c r="C11" s="776">
        <v>1980</v>
      </c>
      <c r="D11" s="11"/>
    </row>
    <row r="12" spans="1:6" ht="30.75" customHeight="1" thickBot="1">
      <c r="A12" s="777"/>
      <c r="B12" s="778" t="s">
        <v>45</v>
      </c>
      <c r="C12" s="779">
        <f>C11+C9+C8</f>
        <v>38107</v>
      </c>
      <c r="D12" s="12"/>
      <c r="E12" s="69"/>
      <c r="F12" s="69"/>
    </row>
    <row r="15" spans="1:3" ht="12.75">
      <c r="A15" s="6"/>
      <c r="C15" s="6"/>
    </row>
    <row r="16" spans="1:3" ht="12.75">
      <c r="A16" s="6"/>
      <c r="C16" s="6"/>
    </row>
    <row r="18" spans="1:3" ht="12.75">
      <c r="A18" s="6"/>
      <c r="C18" s="6"/>
    </row>
    <row r="19" spans="1:3" ht="12.75">
      <c r="A19" s="6"/>
      <c r="C19" s="6"/>
    </row>
    <row r="21" spans="1:3" ht="12.75">
      <c r="A21" s="6"/>
      <c r="C21" s="6"/>
    </row>
    <row r="22" spans="1:3" ht="12.75">
      <c r="A22" s="6"/>
      <c r="C22" s="6"/>
    </row>
  </sheetData>
  <sheetProtection/>
  <mergeCells count="2">
    <mergeCell ref="B3:C3"/>
    <mergeCell ref="B4:C4"/>
  </mergeCells>
  <printOptions/>
  <pageMargins left="0.7" right="0.7" top="0.75" bottom="0.75" header="0.3" footer="0.3"/>
  <pageSetup horizontalDpi="600" verticalDpi="600" orientation="portrait" paperSize="9" scale="95" r:id="rId1"/>
  <colBreaks count="1" manualBreakCount="1">
    <brk id="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32"/>
  <sheetViews>
    <sheetView view="pageBreakPreview" zoomScale="90" zoomScaleSheetLayoutView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V15" sqref="V15"/>
    </sheetView>
  </sheetViews>
  <sheetFormatPr defaultColWidth="9.140625" defaultRowHeight="12.75"/>
  <cols>
    <col min="1" max="1" width="7.421875" style="780" customWidth="1"/>
    <col min="2" max="2" width="32.140625" style="780" customWidth="1"/>
    <col min="3" max="6" width="8.57421875" style="781" customWidth="1"/>
    <col min="7" max="18" width="8.57421875" style="780" customWidth="1"/>
    <col min="19" max="16384" width="9.140625" style="780" customWidth="1"/>
  </cols>
  <sheetData>
    <row r="1" spans="5:18" ht="15.75">
      <c r="E1" s="939"/>
      <c r="F1" s="939"/>
      <c r="I1" s="940"/>
      <c r="J1" s="940"/>
      <c r="M1" s="940"/>
      <c r="N1" s="940"/>
      <c r="Q1" s="940" t="s">
        <v>363</v>
      </c>
      <c r="R1" s="940"/>
    </row>
    <row r="3" spans="1:18" ht="30.75" customHeight="1">
      <c r="A3" s="941" t="str">
        <f>'[1]1.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2024 ГОДУ                                                                                          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  <c r="M3" s="941"/>
      <c r="N3" s="941"/>
      <c r="O3" s="941"/>
      <c r="P3" s="941"/>
      <c r="Q3" s="941"/>
      <c r="R3" s="941"/>
    </row>
    <row r="4" spans="1:17" ht="13.5" customHeight="1">
      <c r="A4" s="803"/>
      <c r="B4" s="803"/>
      <c r="C4" s="803"/>
      <c r="D4" s="803"/>
      <c r="E4" s="803"/>
      <c r="G4" s="803"/>
      <c r="H4" s="803"/>
      <c r="I4" s="803"/>
      <c r="K4" s="803"/>
      <c r="L4" s="803"/>
      <c r="M4" s="803"/>
      <c r="O4" s="803"/>
      <c r="P4" s="803"/>
      <c r="Q4" s="803"/>
    </row>
    <row r="5" spans="1:18" ht="15.75" customHeight="1">
      <c r="A5" s="935" t="s">
        <v>134</v>
      </c>
      <c r="B5" s="935"/>
      <c r="C5" s="935"/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</row>
    <row r="6" spans="1:18" ht="12.75" customHeight="1">
      <c r="A6" s="802"/>
      <c r="B6" s="802"/>
      <c r="C6" s="802"/>
      <c r="D6" s="802"/>
      <c r="E6" s="802"/>
      <c r="F6" s="802"/>
      <c r="G6" s="802"/>
      <c r="H6" s="802"/>
      <c r="I6" s="802"/>
      <c r="J6" s="802"/>
      <c r="K6" s="802"/>
      <c r="L6" s="802"/>
      <c r="M6" s="802"/>
      <c r="N6" s="802"/>
      <c r="O6" s="802"/>
      <c r="P6" s="802"/>
      <c r="Q6" s="802"/>
      <c r="R6" s="802"/>
    </row>
    <row r="7" spans="1:18" ht="15.75">
      <c r="A7" s="942"/>
      <c r="B7" s="938" t="s">
        <v>478</v>
      </c>
      <c r="C7" s="934" t="s">
        <v>476</v>
      </c>
      <c r="D7" s="934"/>
      <c r="E7" s="934"/>
      <c r="F7" s="934"/>
      <c r="G7" s="938" t="s">
        <v>477</v>
      </c>
      <c r="H7" s="938"/>
      <c r="I7" s="938"/>
      <c r="J7" s="938"/>
      <c r="K7" s="938"/>
      <c r="L7" s="938"/>
      <c r="M7" s="938"/>
      <c r="N7" s="938"/>
      <c r="O7" s="938"/>
      <c r="P7" s="938"/>
      <c r="Q7" s="938"/>
      <c r="R7" s="938"/>
    </row>
    <row r="8" spans="1:18" ht="47.25" customHeight="1">
      <c r="A8" s="942"/>
      <c r="B8" s="938"/>
      <c r="C8" s="934"/>
      <c r="D8" s="934"/>
      <c r="E8" s="934"/>
      <c r="F8" s="934"/>
      <c r="G8" s="936" t="s">
        <v>39</v>
      </c>
      <c r="H8" s="936"/>
      <c r="I8" s="936"/>
      <c r="J8" s="936"/>
      <c r="K8" s="936" t="s">
        <v>451</v>
      </c>
      <c r="L8" s="936"/>
      <c r="M8" s="936"/>
      <c r="N8" s="936"/>
      <c r="O8" s="936" t="s">
        <v>475</v>
      </c>
      <c r="P8" s="936"/>
      <c r="Q8" s="936"/>
      <c r="R8" s="936"/>
    </row>
    <row r="9" spans="1:18" ht="17.25" customHeight="1">
      <c r="A9" s="942"/>
      <c r="B9" s="938"/>
      <c r="C9" s="937" t="s">
        <v>59</v>
      </c>
      <c r="D9" s="937" t="s">
        <v>196</v>
      </c>
      <c r="E9" s="937"/>
      <c r="F9" s="937"/>
      <c r="G9" s="933" t="s">
        <v>59</v>
      </c>
      <c r="H9" s="933" t="s">
        <v>196</v>
      </c>
      <c r="I9" s="933"/>
      <c r="J9" s="933"/>
      <c r="K9" s="933" t="s">
        <v>59</v>
      </c>
      <c r="L9" s="933" t="s">
        <v>196</v>
      </c>
      <c r="M9" s="933"/>
      <c r="N9" s="933"/>
      <c r="O9" s="933" t="s">
        <v>59</v>
      </c>
      <c r="P9" s="933" t="s">
        <v>196</v>
      </c>
      <c r="Q9" s="933"/>
      <c r="R9" s="933"/>
    </row>
    <row r="10" spans="1:18" ht="21" customHeight="1">
      <c r="A10" s="942"/>
      <c r="B10" s="938"/>
      <c r="C10" s="937"/>
      <c r="D10" s="801" t="s">
        <v>200</v>
      </c>
      <c r="E10" s="801" t="s">
        <v>201</v>
      </c>
      <c r="F10" s="801" t="s">
        <v>202</v>
      </c>
      <c r="G10" s="933"/>
      <c r="H10" s="799" t="s">
        <v>200</v>
      </c>
      <c r="I10" s="799" t="s">
        <v>201</v>
      </c>
      <c r="J10" s="799" t="s">
        <v>202</v>
      </c>
      <c r="K10" s="933"/>
      <c r="L10" s="799" t="s">
        <v>200</v>
      </c>
      <c r="M10" s="799" t="s">
        <v>201</v>
      </c>
      <c r="N10" s="799" t="s">
        <v>202</v>
      </c>
      <c r="O10" s="933"/>
      <c r="P10" s="799" t="s">
        <v>200</v>
      </c>
      <c r="Q10" s="799" t="s">
        <v>201</v>
      </c>
      <c r="R10" s="799" t="s">
        <v>202</v>
      </c>
    </row>
    <row r="11" spans="1:18" ht="15.75">
      <c r="A11" s="800">
        <v>1</v>
      </c>
      <c r="B11" s="800">
        <v>2</v>
      </c>
      <c r="C11" s="801">
        <v>3</v>
      </c>
      <c r="D11" s="801">
        <v>4</v>
      </c>
      <c r="E11" s="801">
        <v>5</v>
      </c>
      <c r="F11" s="801">
        <v>6</v>
      </c>
      <c r="G11" s="799">
        <v>7</v>
      </c>
      <c r="H11" s="799">
        <v>8</v>
      </c>
      <c r="I11" s="799">
        <v>9</v>
      </c>
      <c r="J11" s="799">
        <v>10</v>
      </c>
      <c r="K11" s="799">
        <v>11</v>
      </c>
      <c r="L11" s="799">
        <v>12</v>
      </c>
      <c r="M11" s="799">
        <v>13</v>
      </c>
      <c r="N11" s="799">
        <v>14</v>
      </c>
      <c r="O11" s="800">
        <v>15</v>
      </c>
      <c r="P11" s="800">
        <v>16</v>
      </c>
      <c r="Q11" s="799">
        <v>17</v>
      </c>
      <c r="R11" s="799">
        <v>18</v>
      </c>
    </row>
    <row r="12" spans="1:19" s="793" customFormat="1" ht="15.75">
      <c r="A12" s="795"/>
      <c r="B12" s="794" t="s">
        <v>116</v>
      </c>
      <c r="C12" s="783">
        <f aca="true" t="shared" si="0" ref="C12:R12">SUM(C13:C24)</f>
        <v>5267</v>
      </c>
      <c r="D12" s="783">
        <f t="shared" si="0"/>
        <v>2611</v>
      </c>
      <c r="E12" s="783">
        <f t="shared" si="0"/>
        <v>1749</v>
      </c>
      <c r="F12" s="783">
        <f t="shared" si="0"/>
        <v>907</v>
      </c>
      <c r="G12" s="783">
        <f t="shared" si="0"/>
        <v>4948</v>
      </c>
      <c r="H12" s="783">
        <f t="shared" si="0"/>
        <v>2606</v>
      </c>
      <c r="I12" s="783">
        <f t="shared" si="0"/>
        <v>1592</v>
      </c>
      <c r="J12" s="783">
        <f t="shared" si="0"/>
        <v>750</v>
      </c>
      <c r="K12" s="783">
        <f t="shared" si="0"/>
        <v>5</v>
      </c>
      <c r="L12" s="783">
        <f t="shared" si="0"/>
        <v>5</v>
      </c>
      <c r="M12" s="783">
        <f t="shared" si="0"/>
        <v>0</v>
      </c>
      <c r="N12" s="783">
        <f t="shared" si="0"/>
        <v>0</v>
      </c>
      <c r="O12" s="783">
        <f t="shared" si="0"/>
        <v>314</v>
      </c>
      <c r="P12" s="783">
        <f t="shared" si="0"/>
        <v>0</v>
      </c>
      <c r="Q12" s="783">
        <f t="shared" si="0"/>
        <v>157</v>
      </c>
      <c r="R12" s="783">
        <f t="shared" si="0"/>
        <v>157</v>
      </c>
      <c r="S12" s="798"/>
    </row>
    <row r="13" spans="1:18" s="793" customFormat="1" ht="19.5" customHeight="1">
      <c r="A13" s="792">
        <v>1</v>
      </c>
      <c r="B13" s="796" t="s">
        <v>117</v>
      </c>
      <c r="C13" s="790">
        <f aca="true" t="shared" si="1" ref="C13:C24">SUM(D13:F13)</f>
        <v>2</v>
      </c>
      <c r="D13" s="789">
        <f aca="true" t="shared" si="2" ref="D13:D24">H13+L13+P13</f>
        <v>2</v>
      </c>
      <c r="E13" s="789">
        <f aca="true" t="shared" si="3" ref="E13:E24">I13+M13+Q13</f>
        <v>0</v>
      </c>
      <c r="F13" s="789">
        <f aca="true" t="shared" si="4" ref="F13:F24">J13+N13+R13</f>
        <v>0</v>
      </c>
      <c r="G13" s="788">
        <f aca="true" t="shared" si="5" ref="G13:G24">SUM(H13:J13)</f>
        <v>0</v>
      </c>
      <c r="H13" s="797"/>
      <c r="I13" s="797"/>
      <c r="J13" s="797"/>
      <c r="K13" s="788">
        <f aca="true" t="shared" si="6" ref="K13:K24">SUM(L13:N13)</f>
        <v>2</v>
      </c>
      <c r="L13" s="797">
        <v>2</v>
      </c>
      <c r="M13" s="797"/>
      <c r="N13" s="787"/>
      <c r="O13" s="788">
        <f aca="true" t="shared" si="7" ref="O13:O24">SUM(P13:R13)</f>
        <v>0</v>
      </c>
      <c r="P13" s="797"/>
      <c r="Q13" s="797"/>
      <c r="R13" s="787"/>
    </row>
    <row r="14" spans="1:18" s="793" customFormat="1" ht="28.5" customHeight="1">
      <c r="A14" s="792">
        <v>2</v>
      </c>
      <c r="B14" s="796" t="s">
        <v>118</v>
      </c>
      <c r="C14" s="790">
        <f t="shared" si="1"/>
        <v>2515</v>
      </c>
      <c r="D14" s="789">
        <f t="shared" si="2"/>
        <v>1378</v>
      </c>
      <c r="E14" s="789">
        <f t="shared" si="3"/>
        <v>811</v>
      </c>
      <c r="F14" s="789">
        <f t="shared" si="4"/>
        <v>326</v>
      </c>
      <c r="G14" s="788">
        <f t="shared" si="5"/>
        <v>2515</v>
      </c>
      <c r="H14" s="797">
        <v>1378</v>
      </c>
      <c r="I14" s="797">
        <v>811</v>
      </c>
      <c r="J14" s="797">
        <v>326</v>
      </c>
      <c r="K14" s="788">
        <f t="shared" si="6"/>
        <v>0</v>
      </c>
      <c r="L14" s="797"/>
      <c r="M14" s="797"/>
      <c r="N14" s="787"/>
      <c r="O14" s="788">
        <f t="shared" si="7"/>
        <v>0</v>
      </c>
      <c r="P14" s="797"/>
      <c r="Q14" s="797"/>
      <c r="R14" s="787"/>
    </row>
    <row r="15" spans="1:18" ht="29.25" customHeight="1">
      <c r="A15" s="792">
        <v>3</v>
      </c>
      <c r="B15" s="796" t="s">
        <v>119</v>
      </c>
      <c r="C15" s="790">
        <f t="shared" si="1"/>
        <v>2402</v>
      </c>
      <c r="D15" s="789">
        <f t="shared" si="2"/>
        <v>1044</v>
      </c>
      <c r="E15" s="789">
        <f t="shared" si="3"/>
        <v>816</v>
      </c>
      <c r="F15" s="789">
        <f t="shared" si="4"/>
        <v>542</v>
      </c>
      <c r="G15" s="788">
        <f t="shared" si="5"/>
        <v>2088</v>
      </c>
      <c r="H15" s="797">
        <v>1044</v>
      </c>
      <c r="I15" s="797">
        <v>659</v>
      </c>
      <c r="J15" s="797">
        <v>385</v>
      </c>
      <c r="K15" s="788">
        <f t="shared" si="6"/>
        <v>0</v>
      </c>
      <c r="L15" s="797"/>
      <c r="M15" s="797"/>
      <c r="N15" s="787"/>
      <c r="O15" s="788">
        <f t="shared" si="7"/>
        <v>314</v>
      </c>
      <c r="P15" s="797"/>
      <c r="Q15" s="805">
        <v>157</v>
      </c>
      <c r="R15" s="787">
        <v>157</v>
      </c>
    </row>
    <row r="16" spans="1:18" s="793" customFormat="1" ht="16.5" customHeight="1">
      <c r="A16" s="792">
        <v>4</v>
      </c>
      <c r="B16" s="796" t="s">
        <v>120</v>
      </c>
      <c r="C16" s="790">
        <f t="shared" si="1"/>
        <v>301</v>
      </c>
      <c r="D16" s="789">
        <f t="shared" si="2"/>
        <v>140</v>
      </c>
      <c r="E16" s="789">
        <f t="shared" si="3"/>
        <v>122</v>
      </c>
      <c r="F16" s="789">
        <f t="shared" si="4"/>
        <v>39</v>
      </c>
      <c r="G16" s="788">
        <f t="shared" si="5"/>
        <v>299</v>
      </c>
      <c r="H16" s="797">
        <v>138</v>
      </c>
      <c r="I16" s="797">
        <v>122</v>
      </c>
      <c r="J16" s="797">
        <v>39</v>
      </c>
      <c r="K16" s="788">
        <f t="shared" si="6"/>
        <v>2</v>
      </c>
      <c r="L16" s="797">
        <v>2</v>
      </c>
      <c r="M16" s="797"/>
      <c r="N16" s="787"/>
      <c r="O16" s="788">
        <f t="shared" si="7"/>
        <v>0</v>
      </c>
      <c r="P16" s="797"/>
      <c r="Q16" s="797"/>
      <c r="R16" s="787"/>
    </row>
    <row r="17" spans="1:18" s="793" customFormat="1" ht="16.5" customHeight="1">
      <c r="A17" s="792">
        <v>5</v>
      </c>
      <c r="B17" s="796" t="s">
        <v>121</v>
      </c>
      <c r="C17" s="790">
        <f t="shared" si="1"/>
        <v>1</v>
      </c>
      <c r="D17" s="789">
        <f t="shared" si="2"/>
        <v>1</v>
      </c>
      <c r="E17" s="789">
        <f t="shared" si="3"/>
        <v>0</v>
      </c>
      <c r="F17" s="789">
        <f t="shared" si="4"/>
        <v>0</v>
      </c>
      <c r="G17" s="788">
        <f t="shared" si="5"/>
        <v>0</v>
      </c>
      <c r="H17" s="797"/>
      <c r="I17" s="797"/>
      <c r="J17" s="797"/>
      <c r="K17" s="788">
        <f t="shared" si="6"/>
        <v>1</v>
      </c>
      <c r="L17" s="797">
        <v>1</v>
      </c>
      <c r="M17" s="797"/>
      <c r="N17" s="787"/>
      <c r="O17" s="788">
        <f t="shared" si="7"/>
        <v>0</v>
      </c>
      <c r="P17" s="797"/>
      <c r="Q17" s="797"/>
      <c r="R17" s="787"/>
    </row>
    <row r="18" spans="1:18" s="793" customFormat="1" ht="29.25" customHeight="1">
      <c r="A18" s="792">
        <v>6</v>
      </c>
      <c r="B18" s="796" t="s">
        <v>122</v>
      </c>
      <c r="C18" s="790">
        <f t="shared" si="1"/>
        <v>1</v>
      </c>
      <c r="D18" s="789">
        <f t="shared" si="2"/>
        <v>1</v>
      </c>
      <c r="E18" s="789">
        <f t="shared" si="3"/>
        <v>0</v>
      </c>
      <c r="F18" s="789">
        <f t="shared" si="4"/>
        <v>0</v>
      </c>
      <c r="G18" s="788">
        <f t="shared" si="5"/>
        <v>1</v>
      </c>
      <c r="H18" s="797">
        <v>1</v>
      </c>
      <c r="I18" s="797"/>
      <c r="J18" s="797"/>
      <c r="K18" s="788">
        <f t="shared" si="6"/>
        <v>0</v>
      </c>
      <c r="L18" s="797"/>
      <c r="M18" s="797"/>
      <c r="N18" s="787"/>
      <c r="O18" s="788">
        <f t="shared" si="7"/>
        <v>0</v>
      </c>
      <c r="P18" s="797"/>
      <c r="Q18" s="797"/>
      <c r="R18" s="787"/>
    </row>
    <row r="19" spans="1:18" s="793" customFormat="1" ht="16.5" customHeight="1">
      <c r="A19" s="792">
        <v>7</v>
      </c>
      <c r="B19" s="796" t="s">
        <v>123</v>
      </c>
      <c r="C19" s="790">
        <f t="shared" si="1"/>
        <v>0</v>
      </c>
      <c r="D19" s="789">
        <f t="shared" si="2"/>
        <v>0</v>
      </c>
      <c r="E19" s="789">
        <f t="shared" si="3"/>
        <v>0</v>
      </c>
      <c r="F19" s="789">
        <f t="shared" si="4"/>
        <v>0</v>
      </c>
      <c r="G19" s="788">
        <f t="shared" si="5"/>
        <v>0</v>
      </c>
      <c r="H19" s="797"/>
      <c r="I19" s="797"/>
      <c r="J19" s="797"/>
      <c r="K19" s="788">
        <f t="shared" si="6"/>
        <v>0</v>
      </c>
      <c r="L19" s="797"/>
      <c r="M19" s="797"/>
      <c r="N19" s="787"/>
      <c r="O19" s="788">
        <f t="shared" si="7"/>
        <v>0</v>
      </c>
      <c r="P19" s="797"/>
      <c r="Q19" s="797"/>
      <c r="R19" s="787"/>
    </row>
    <row r="20" spans="1:18" s="793" customFormat="1" ht="16.5" customHeight="1">
      <c r="A20" s="792">
        <v>8</v>
      </c>
      <c r="B20" s="796" t="s">
        <v>124</v>
      </c>
      <c r="C20" s="790">
        <f t="shared" si="1"/>
        <v>0</v>
      </c>
      <c r="D20" s="789">
        <f t="shared" si="2"/>
        <v>0</v>
      </c>
      <c r="E20" s="789">
        <f t="shared" si="3"/>
        <v>0</v>
      </c>
      <c r="F20" s="789">
        <f t="shared" si="4"/>
        <v>0</v>
      </c>
      <c r="G20" s="788">
        <f t="shared" si="5"/>
        <v>0</v>
      </c>
      <c r="H20" s="797"/>
      <c r="I20" s="797"/>
      <c r="J20" s="797"/>
      <c r="K20" s="788">
        <f t="shared" si="6"/>
        <v>0</v>
      </c>
      <c r="L20" s="797"/>
      <c r="M20" s="797"/>
      <c r="N20" s="787"/>
      <c r="O20" s="788">
        <f t="shared" si="7"/>
        <v>0</v>
      </c>
      <c r="P20" s="797"/>
      <c r="Q20" s="797"/>
      <c r="R20" s="787"/>
    </row>
    <row r="21" spans="1:18" s="793" customFormat="1" ht="16.5" customHeight="1">
      <c r="A21" s="792">
        <v>9</v>
      </c>
      <c r="B21" s="796" t="s">
        <v>125</v>
      </c>
      <c r="C21" s="790">
        <f t="shared" si="1"/>
        <v>36</v>
      </c>
      <c r="D21" s="789">
        <f t="shared" si="2"/>
        <v>36</v>
      </c>
      <c r="E21" s="789">
        <f t="shared" si="3"/>
        <v>0</v>
      </c>
      <c r="F21" s="789">
        <f t="shared" si="4"/>
        <v>0</v>
      </c>
      <c r="G21" s="788">
        <f t="shared" si="5"/>
        <v>36</v>
      </c>
      <c r="H21" s="797">
        <v>36</v>
      </c>
      <c r="I21" s="797"/>
      <c r="J21" s="797"/>
      <c r="K21" s="788">
        <f t="shared" si="6"/>
        <v>0</v>
      </c>
      <c r="L21" s="797"/>
      <c r="M21" s="797"/>
      <c r="N21" s="787"/>
      <c r="O21" s="788">
        <f t="shared" si="7"/>
        <v>0</v>
      </c>
      <c r="P21" s="797"/>
      <c r="Q21" s="797"/>
      <c r="R21" s="787"/>
    </row>
    <row r="22" spans="1:18" s="793" customFormat="1" ht="16.5" customHeight="1">
      <c r="A22" s="792">
        <v>10</v>
      </c>
      <c r="B22" s="796" t="s">
        <v>126</v>
      </c>
      <c r="C22" s="790">
        <f t="shared" si="1"/>
        <v>3</v>
      </c>
      <c r="D22" s="789">
        <f t="shared" si="2"/>
        <v>3</v>
      </c>
      <c r="E22" s="789">
        <f t="shared" si="3"/>
        <v>0</v>
      </c>
      <c r="F22" s="789">
        <f t="shared" si="4"/>
        <v>0</v>
      </c>
      <c r="G22" s="788">
        <f t="shared" si="5"/>
        <v>3</v>
      </c>
      <c r="H22" s="787">
        <v>3</v>
      </c>
      <c r="I22" s="787"/>
      <c r="J22" s="787"/>
      <c r="K22" s="788">
        <f t="shared" si="6"/>
        <v>0</v>
      </c>
      <c r="L22" s="787"/>
      <c r="M22" s="787"/>
      <c r="N22" s="787"/>
      <c r="O22" s="788">
        <f t="shared" si="7"/>
        <v>0</v>
      </c>
      <c r="P22" s="787"/>
      <c r="Q22" s="787"/>
      <c r="R22" s="787"/>
    </row>
    <row r="23" spans="1:18" s="793" customFormat="1" ht="32.25" customHeight="1">
      <c r="A23" s="792">
        <v>11</v>
      </c>
      <c r="B23" s="796" t="s">
        <v>127</v>
      </c>
      <c r="C23" s="790">
        <f t="shared" si="1"/>
        <v>0</v>
      </c>
      <c r="D23" s="789">
        <f t="shared" si="2"/>
        <v>0</v>
      </c>
      <c r="E23" s="789">
        <f t="shared" si="3"/>
        <v>0</v>
      </c>
      <c r="F23" s="789">
        <f t="shared" si="4"/>
        <v>0</v>
      </c>
      <c r="G23" s="788">
        <f t="shared" si="5"/>
        <v>0</v>
      </c>
      <c r="H23" s="787"/>
      <c r="I23" s="787"/>
      <c r="J23" s="787"/>
      <c r="K23" s="788">
        <f t="shared" si="6"/>
        <v>0</v>
      </c>
      <c r="L23" s="787"/>
      <c r="M23" s="787"/>
      <c r="N23" s="787"/>
      <c r="O23" s="788">
        <f t="shared" si="7"/>
        <v>0</v>
      </c>
      <c r="P23" s="787"/>
      <c r="Q23" s="787"/>
      <c r="R23" s="787"/>
    </row>
    <row r="24" spans="1:18" s="793" customFormat="1" ht="32.25" customHeight="1">
      <c r="A24" s="792">
        <v>12</v>
      </c>
      <c r="B24" s="796" t="s">
        <v>128</v>
      </c>
      <c r="C24" s="790">
        <f t="shared" si="1"/>
        <v>6</v>
      </c>
      <c r="D24" s="789">
        <f t="shared" si="2"/>
        <v>6</v>
      </c>
      <c r="E24" s="789">
        <f t="shared" si="3"/>
        <v>0</v>
      </c>
      <c r="F24" s="789">
        <f t="shared" si="4"/>
        <v>0</v>
      </c>
      <c r="G24" s="788">
        <f t="shared" si="5"/>
        <v>6</v>
      </c>
      <c r="H24" s="787">
        <v>6</v>
      </c>
      <c r="I24" s="787"/>
      <c r="J24" s="787"/>
      <c r="K24" s="788">
        <f t="shared" si="6"/>
        <v>0</v>
      </c>
      <c r="L24" s="787"/>
      <c r="M24" s="787"/>
      <c r="N24" s="787"/>
      <c r="O24" s="788">
        <f t="shared" si="7"/>
        <v>0</v>
      </c>
      <c r="P24" s="787"/>
      <c r="Q24" s="787"/>
      <c r="R24" s="787"/>
    </row>
    <row r="25" spans="1:18" s="793" customFormat="1" ht="28.5" customHeight="1">
      <c r="A25" s="795"/>
      <c r="B25" s="794" t="s">
        <v>129</v>
      </c>
      <c r="C25" s="783">
        <f aca="true" t="shared" si="8" ref="C25:R25">SUM(C26:C29)</f>
        <v>810</v>
      </c>
      <c r="D25" s="783">
        <f t="shared" si="8"/>
        <v>523</v>
      </c>
      <c r="E25" s="783">
        <f t="shared" si="8"/>
        <v>287</v>
      </c>
      <c r="F25" s="783">
        <f t="shared" si="8"/>
        <v>0</v>
      </c>
      <c r="G25" s="783">
        <f t="shared" si="8"/>
        <v>810</v>
      </c>
      <c r="H25" s="783">
        <f t="shared" si="8"/>
        <v>523</v>
      </c>
      <c r="I25" s="783">
        <f t="shared" si="8"/>
        <v>287</v>
      </c>
      <c r="J25" s="783">
        <f t="shared" si="8"/>
        <v>0</v>
      </c>
      <c r="K25" s="783">
        <f t="shared" si="8"/>
        <v>0</v>
      </c>
      <c r="L25" s="783">
        <f t="shared" si="8"/>
        <v>0</v>
      </c>
      <c r="M25" s="783">
        <f t="shared" si="8"/>
        <v>0</v>
      </c>
      <c r="N25" s="783">
        <f t="shared" si="8"/>
        <v>0</v>
      </c>
      <c r="O25" s="783">
        <f t="shared" si="8"/>
        <v>0</v>
      </c>
      <c r="P25" s="783">
        <f t="shared" si="8"/>
        <v>0</v>
      </c>
      <c r="Q25" s="783">
        <f t="shared" si="8"/>
        <v>0</v>
      </c>
      <c r="R25" s="783">
        <f t="shared" si="8"/>
        <v>0</v>
      </c>
    </row>
    <row r="26" spans="1:18" s="793" customFormat="1" ht="18" customHeight="1">
      <c r="A26" s="792">
        <v>13</v>
      </c>
      <c r="B26" s="791" t="s">
        <v>130</v>
      </c>
      <c r="C26" s="790">
        <f>SUM(D26:F26)</f>
        <v>94</v>
      </c>
      <c r="D26" s="789">
        <f aca="true" t="shared" si="9" ref="D26:F29">H26+L26+P26</f>
        <v>58</v>
      </c>
      <c r="E26" s="789">
        <f t="shared" si="9"/>
        <v>36</v>
      </c>
      <c r="F26" s="789">
        <f t="shared" si="9"/>
        <v>0</v>
      </c>
      <c r="G26" s="788">
        <f>SUM(H26:J26)</f>
        <v>94</v>
      </c>
      <c r="H26" s="787">
        <v>58</v>
      </c>
      <c r="I26" s="787">
        <v>36</v>
      </c>
      <c r="J26" s="787"/>
      <c r="K26" s="788">
        <f>SUM(L26:N26)</f>
        <v>0</v>
      </c>
      <c r="L26" s="787"/>
      <c r="M26" s="787"/>
      <c r="N26" s="787"/>
      <c r="O26" s="788">
        <f>SUM(P26:R26)</f>
        <v>0</v>
      </c>
      <c r="P26" s="787"/>
      <c r="Q26" s="787"/>
      <c r="R26" s="787"/>
    </row>
    <row r="27" spans="1:18" s="793" customFormat="1" ht="28.5" customHeight="1">
      <c r="A27" s="792">
        <v>14</v>
      </c>
      <c r="B27" s="791" t="s">
        <v>131</v>
      </c>
      <c r="C27" s="790">
        <f>SUM(D27:F27)</f>
        <v>266</v>
      </c>
      <c r="D27" s="789">
        <f t="shared" si="9"/>
        <v>266</v>
      </c>
      <c r="E27" s="789">
        <f t="shared" si="9"/>
        <v>0</v>
      </c>
      <c r="F27" s="789">
        <f t="shared" si="9"/>
        <v>0</v>
      </c>
      <c r="G27" s="788">
        <f>SUM(H27:J27)</f>
        <v>266</v>
      </c>
      <c r="H27" s="787">
        <v>266</v>
      </c>
      <c r="I27" s="787">
        <v>0</v>
      </c>
      <c r="J27" s="787"/>
      <c r="K27" s="788">
        <f>SUM(L27:N27)</f>
        <v>0</v>
      </c>
      <c r="L27" s="787"/>
      <c r="M27" s="787"/>
      <c r="N27" s="787"/>
      <c r="O27" s="788">
        <f>SUM(P27:R27)</f>
        <v>0</v>
      </c>
      <c r="P27" s="787"/>
      <c r="Q27" s="787"/>
      <c r="R27" s="787"/>
    </row>
    <row r="28" spans="1:18" ht="46.5" customHeight="1">
      <c r="A28" s="792">
        <v>15</v>
      </c>
      <c r="B28" s="791" t="s">
        <v>132</v>
      </c>
      <c r="C28" s="790">
        <f>SUM(D28:F28)</f>
        <v>450</v>
      </c>
      <c r="D28" s="789">
        <f t="shared" si="9"/>
        <v>199</v>
      </c>
      <c r="E28" s="789">
        <f t="shared" si="9"/>
        <v>251</v>
      </c>
      <c r="F28" s="789">
        <f t="shared" si="9"/>
        <v>0</v>
      </c>
      <c r="G28" s="788">
        <f>SUM(H28:J28)</f>
        <v>450</v>
      </c>
      <c r="H28" s="787">
        <v>199</v>
      </c>
      <c r="I28" s="787">
        <v>251</v>
      </c>
      <c r="J28" s="787"/>
      <c r="K28" s="788">
        <f>SUM(L28:N28)</f>
        <v>0</v>
      </c>
      <c r="L28" s="787"/>
      <c r="M28" s="787"/>
      <c r="N28" s="787"/>
      <c r="O28" s="788">
        <f>SUM(P28:R28)</f>
        <v>0</v>
      </c>
      <c r="P28" s="787"/>
      <c r="Q28" s="787"/>
      <c r="R28" s="787"/>
    </row>
    <row r="29" spans="1:18" ht="30" customHeight="1">
      <c r="A29" s="792">
        <v>16</v>
      </c>
      <c r="B29" s="791" t="s">
        <v>133</v>
      </c>
      <c r="C29" s="790">
        <f>SUM(D29:F29)</f>
        <v>0</v>
      </c>
      <c r="D29" s="789">
        <f t="shared" si="9"/>
        <v>0</v>
      </c>
      <c r="E29" s="789">
        <f t="shared" si="9"/>
        <v>0</v>
      </c>
      <c r="F29" s="789">
        <f t="shared" si="9"/>
        <v>0</v>
      </c>
      <c r="G29" s="788">
        <f>SUM(H29:J29)</f>
        <v>0</v>
      </c>
      <c r="H29" s="787"/>
      <c r="I29" s="787"/>
      <c r="J29" s="787"/>
      <c r="K29" s="788">
        <f>SUM(L29:N29)</f>
        <v>0</v>
      </c>
      <c r="L29" s="787"/>
      <c r="M29" s="787"/>
      <c r="N29" s="787"/>
      <c r="O29" s="788">
        <f>SUM(P29:R29)</f>
        <v>0</v>
      </c>
      <c r="P29" s="787"/>
      <c r="Q29" s="787"/>
      <c r="R29" s="787"/>
    </row>
    <row r="30" spans="1:18" ht="15.75">
      <c r="A30" s="786"/>
      <c r="B30" s="785" t="s">
        <v>59</v>
      </c>
      <c r="C30" s="784">
        <f aca="true" t="shared" si="10" ref="C30:R30">C25+C12</f>
        <v>6077</v>
      </c>
      <c r="D30" s="783">
        <f t="shared" si="10"/>
        <v>3134</v>
      </c>
      <c r="E30" s="783">
        <f t="shared" si="10"/>
        <v>2036</v>
      </c>
      <c r="F30" s="783">
        <f t="shared" si="10"/>
        <v>907</v>
      </c>
      <c r="G30" s="784">
        <f t="shared" si="10"/>
        <v>5758</v>
      </c>
      <c r="H30" s="783">
        <f t="shared" si="10"/>
        <v>3129</v>
      </c>
      <c r="I30" s="783">
        <f t="shared" si="10"/>
        <v>1879</v>
      </c>
      <c r="J30" s="783">
        <f t="shared" si="10"/>
        <v>750</v>
      </c>
      <c r="K30" s="784">
        <f t="shared" si="10"/>
        <v>5</v>
      </c>
      <c r="L30" s="783">
        <f t="shared" si="10"/>
        <v>5</v>
      </c>
      <c r="M30" s="783">
        <f t="shared" si="10"/>
        <v>0</v>
      </c>
      <c r="N30" s="783">
        <f t="shared" si="10"/>
        <v>0</v>
      </c>
      <c r="O30" s="784">
        <f t="shared" si="10"/>
        <v>314</v>
      </c>
      <c r="P30" s="783">
        <f t="shared" si="10"/>
        <v>0</v>
      </c>
      <c r="Q30" s="783">
        <f t="shared" si="10"/>
        <v>157</v>
      </c>
      <c r="R30" s="783">
        <f t="shared" si="10"/>
        <v>157</v>
      </c>
    </row>
    <row r="32" ht="15.75">
      <c r="C32" s="782"/>
    </row>
  </sheetData>
  <sheetProtection/>
  <mergeCells count="21">
    <mergeCell ref="B7:B10"/>
    <mergeCell ref="K9:K10"/>
    <mergeCell ref="G7:R7"/>
    <mergeCell ref="O9:O10"/>
    <mergeCell ref="K8:N8"/>
    <mergeCell ref="E1:F1"/>
    <mergeCell ref="I1:J1"/>
    <mergeCell ref="M1:N1"/>
    <mergeCell ref="Q1:R1"/>
    <mergeCell ref="A3:R3"/>
    <mergeCell ref="A7:A10"/>
    <mergeCell ref="L9:N9"/>
    <mergeCell ref="C7:F8"/>
    <mergeCell ref="P9:R9"/>
    <mergeCell ref="H9:J9"/>
    <mergeCell ref="A5:R5"/>
    <mergeCell ref="O8:R8"/>
    <mergeCell ref="C9:C10"/>
    <mergeCell ref="D9:F9"/>
    <mergeCell ref="G8:J8"/>
    <mergeCell ref="G9:G10"/>
  </mergeCells>
  <printOptions/>
  <pageMargins left="0.3937007874015748" right="0.31496062992125984" top="0.7874015748031497" bottom="0.31496062992125984" header="0.5118110236220472" footer="0.5118110236220472"/>
  <pageSetup firstPageNumber="1" useFirstPageNumber="1" horizontalDpi="600" verticalDpi="600" orientation="landscape" paperSize="9" scale="78" r:id="rId1"/>
  <headerFooter alignWithMargins="0">
    <oddFooter>&amp;C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31"/>
  <sheetViews>
    <sheetView tabSelected="1" view="pageBreakPreview" zoomScale="80" zoomScaleSheetLayoutView="80" zoomScalePageLayoutView="0" workbookViewId="0" topLeftCell="A1">
      <selection activeCell="K9" sqref="K9"/>
    </sheetView>
  </sheetViews>
  <sheetFormatPr defaultColWidth="9.140625" defaultRowHeight="12.75"/>
  <cols>
    <col min="1" max="1" width="6.28125" style="232" customWidth="1"/>
    <col min="2" max="2" width="66.00390625" style="232" customWidth="1"/>
    <col min="3" max="3" width="15.28125" style="232" customWidth="1"/>
    <col min="4" max="4" width="18.00390625" style="232" customWidth="1"/>
    <col min="5" max="5" width="15.28125" style="232" customWidth="1"/>
    <col min="6" max="6" width="16.140625" style="232" customWidth="1"/>
    <col min="7" max="7" width="14.00390625" style="232" customWidth="1"/>
    <col min="8" max="9" width="13.28125" style="232" customWidth="1"/>
    <col min="10" max="10" width="16.7109375" style="232" customWidth="1"/>
    <col min="11" max="13" width="13.28125" style="232" customWidth="1"/>
    <col min="14" max="14" width="21.7109375" style="232" customWidth="1"/>
    <col min="15" max="15" width="12.7109375" style="232" customWidth="1"/>
    <col min="16" max="16" width="12.8515625" style="232" customWidth="1"/>
    <col min="17" max="17" width="9.57421875" style="232" bestFit="1" customWidth="1"/>
    <col min="18" max="18" width="10.421875" style="232" bestFit="1" customWidth="1"/>
    <col min="19" max="16384" width="9.140625" style="232" customWidth="1"/>
  </cols>
  <sheetData>
    <row r="1" ht="15.75">
      <c r="C1" s="233" t="s">
        <v>267</v>
      </c>
    </row>
    <row r="3" spans="1:5" ht="74.25" customHeight="1">
      <c r="A3" s="943" t="s">
        <v>484</v>
      </c>
      <c r="B3" s="943"/>
      <c r="C3" s="943"/>
      <c r="D3" s="943"/>
      <c r="E3" s="943"/>
    </row>
    <row r="5" spans="1:5" ht="38.25" customHeight="1">
      <c r="A5" s="944" t="s">
        <v>68</v>
      </c>
      <c r="B5" s="946" t="s">
        <v>217</v>
      </c>
      <c r="C5" s="947" t="s">
        <v>486</v>
      </c>
      <c r="D5" s="948" t="s">
        <v>384</v>
      </c>
      <c r="E5" s="949" t="s">
        <v>485</v>
      </c>
    </row>
    <row r="6" spans="1:14" ht="54" customHeight="1">
      <c r="A6" s="945"/>
      <c r="B6" s="946"/>
      <c r="C6" s="947"/>
      <c r="D6" s="948"/>
      <c r="E6" s="949"/>
      <c r="K6" s="336"/>
      <c r="L6" s="336"/>
      <c r="M6" s="336"/>
      <c r="N6" s="336"/>
    </row>
    <row r="7" spans="1:16" ht="22.5" customHeight="1">
      <c r="A7" s="266">
        <v>1</v>
      </c>
      <c r="B7" s="353" t="s">
        <v>39</v>
      </c>
      <c r="C7" s="295">
        <v>4904564.53</v>
      </c>
      <c r="D7" s="804">
        <v>-24656.57</v>
      </c>
      <c r="E7" s="275">
        <f>C7+D7</f>
        <v>4879907.96</v>
      </c>
      <c r="H7" s="271"/>
      <c r="O7" s="338"/>
      <c r="P7" s="337"/>
    </row>
    <row r="8" spans="1:19" ht="33.75" customHeight="1">
      <c r="A8" s="268" t="s">
        <v>246</v>
      </c>
      <c r="B8" s="353" t="s">
        <v>454</v>
      </c>
      <c r="C8" s="295">
        <v>25131.85</v>
      </c>
      <c r="D8" s="804"/>
      <c r="E8" s="275">
        <f aca="true" t="shared" si="0" ref="E8:E26">C8+D8</f>
        <v>25131.85</v>
      </c>
      <c r="G8" s="271"/>
      <c r="H8" s="271"/>
      <c r="O8" s="338"/>
      <c r="P8" s="337"/>
      <c r="S8" s="340"/>
    </row>
    <row r="9" spans="1:19" ht="32.25" customHeight="1">
      <c r="A9" s="268" t="s">
        <v>247</v>
      </c>
      <c r="B9" s="353" t="s">
        <v>450</v>
      </c>
      <c r="C9" s="295">
        <v>1441443.12</v>
      </c>
      <c r="D9" s="804">
        <v>77634.97</v>
      </c>
      <c r="E9" s="275">
        <f t="shared" si="0"/>
        <v>1519078.09</v>
      </c>
      <c r="H9" s="271"/>
      <c r="O9" s="338"/>
      <c r="P9" s="337"/>
      <c r="R9" s="341"/>
      <c r="S9" s="340"/>
    </row>
    <row r="10" spans="1:16" ht="22.5" customHeight="1">
      <c r="A10" s="268" t="s">
        <v>248</v>
      </c>
      <c r="B10" s="353" t="s">
        <v>207</v>
      </c>
      <c r="C10" s="295">
        <v>1371628.76</v>
      </c>
      <c r="D10" s="804">
        <v>-77891.51</v>
      </c>
      <c r="E10" s="275">
        <f t="shared" si="0"/>
        <v>1293737.25</v>
      </c>
      <c r="F10" s="271"/>
      <c r="H10" s="271"/>
      <c r="O10" s="338"/>
      <c r="P10" s="337"/>
    </row>
    <row r="11" spans="1:16" ht="22.5" customHeight="1">
      <c r="A11" s="268" t="s">
        <v>453</v>
      </c>
      <c r="B11" s="353" t="s">
        <v>218</v>
      </c>
      <c r="C11" s="295">
        <v>380692.77999999997</v>
      </c>
      <c r="D11" s="804">
        <v>24913.11</v>
      </c>
      <c r="E11" s="275">
        <f t="shared" si="0"/>
        <v>405605.88999999996</v>
      </c>
      <c r="F11" s="271"/>
      <c r="G11" s="271"/>
      <c r="H11" s="271"/>
      <c r="O11" s="338"/>
      <c r="P11" s="337"/>
    </row>
    <row r="12" spans="1:16" ht="20.25" customHeight="1">
      <c r="A12" s="268" t="s">
        <v>249</v>
      </c>
      <c r="B12" s="353" t="s">
        <v>219</v>
      </c>
      <c r="C12" s="295">
        <v>6663.86</v>
      </c>
      <c r="D12" s="804"/>
      <c r="E12" s="275">
        <f t="shared" si="0"/>
        <v>6663.86</v>
      </c>
      <c r="O12" s="338"/>
      <c r="P12" s="337"/>
    </row>
    <row r="13" spans="1:16" ht="20.25" customHeight="1">
      <c r="A13" s="268" t="s">
        <v>250</v>
      </c>
      <c r="B13" s="354" t="s">
        <v>220</v>
      </c>
      <c r="C13" s="295">
        <v>4267.55</v>
      </c>
      <c r="D13" s="804"/>
      <c r="E13" s="275">
        <f t="shared" si="0"/>
        <v>4267.55</v>
      </c>
      <c r="O13" s="338"/>
      <c r="P13" s="337"/>
    </row>
    <row r="14" spans="1:16" ht="20.25" customHeight="1">
      <c r="A14" s="268" t="s">
        <v>251</v>
      </c>
      <c r="B14" s="353" t="s">
        <v>221</v>
      </c>
      <c r="C14" s="295">
        <v>45248.68</v>
      </c>
      <c r="D14" s="804"/>
      <c r="E14" s="275">
        <f t="shared" si="0"/>
        <v>45248.68</v>
      </c>
      <c r="O14" s="338"/>
      <c r="P14" s="337"/>
    </row>
    <row r="15" spans="1:16" ht="20.25" customHeight="1">
      <c r="A15" s="268" t="s">
        <v>252</v>
      </c>
      <c r="B15" s="353" t="s">
        <v>222</v>
      </c>
      <c r="C15" s="295">
        <v>61474.73</v>
      </c>
      <c r="D15" s="804"/>
      <c r="E15" s="275">
        <f t="shared" si="0"/>
        <v>61474.73</v>
      </c>
      <c r="H15" s="271"/>
      <c r="O15" s="338"/>
      <c r="P15" s="337"/>
    </row>
    <row r="16" spans="1:16" ht="23.25" customHeight="1">
      <c r="A16" s="268" t="s">
        <v>253</v>
      </c>
      <c r="B16" s="353" t="s">
        <v>223</v>
      </c>
      <c r="C16" s="295">
        <v>67349.57</v>
      </c>
      <c r="D16" s="804"/>
      <c r="E16" s="275">
        <f t="shared" si="0"/>
        <v>67349.57</v>
      </c>
      <c r="H16" s="271"/>
      <c r="O16" s="338"/>
      <c r="P16" s="337"/>
    </row>
    <row r="17" spans="1:16" ht="24" customHeight="1">
      <c r="A17" s="268" t="s">
        <v>254</v>
      </c>
      <c r="B17" s="354" t="s">
        <v>224</v>
      </c>
      <c r="C17" s="295">
        <v>8911.76</v>
      </c>
      <c r="D17" s="804"/>
      <c r="E17" s="275">
        <f t="shared" si="0"/>
        <v>8911.76</v>
      </c>
      <c r="H17" s="271"/>
      <c r="P17" s="337"/>
    </row>
    <row r="18" spans="1:16" ht="20.25" customHeight="1">
      <c r="A18" s="268" t="s">
        <v>255</v>
      </c>
      <c r="B18" s="354" t="s">
        <v>225</v>
      </c>
      <c r="C18" s="295">
        <v>6113.969999999999</v>
      </c>
      <c r="D18" s="804"/>
      <c r="E18" s="275">
        <f t="shared" si="0"/>
        <v>6113.969999999999</v>
      </c>
      <c r="H18" s="271"/>
      <c r="P18" s="337"/>
    </row>
    <row r="19" spans="1:16" ht="20.25" customHeight="1">
      <c r="A19" s="268" t="s">
        <v>256</v>
      </c>
      <c r="B19" s="353" t="s">
        <v>475</v>
      </c>
      <c r="C19" s="295">
        <v>5437.92</v>
      </c>
      <c r="D19" s="804"/>
      <c r="E19" s="275">
        <f t="shared" si="0"/>
        <v>5437.92</v>
      </c>
      <c r="H19" s="271"/>
      <c r="P19" s="337"/>
    </row>
    <row r="20" spans="1:16" ht="20.25" customHeight="1">
      <c r="A20" s="268" t="s">
        <v>257</v>
      </c>
      <c r="B20" s="353" t="s">
        <v>226</v>
      </c>
      <c r="C20" s="295">
        <v>719.46</v>
      </c>
      <c r="D20" s="804"/>
      <c r="E20" s="275">
        <f t="shared" si="0"/>
        <v>719.46</v>
      </c>
      <c r="H20" s="271"/>
      <c r="P20" s="337"/>
    </row>
    <row r="21" spans="1:16" ht="20.25" customHeight="1">
      <c r="A21" s="268" t="s">
        <v>258</v>
      </c>
      <c r="B21" s="353" t="s">
        <v>596</v>
      </c>
      <c r="C21" s="295">
        <v>1870.93</v>
      </c>
      <c r="D21" s="804"/>
      <c r="E21" s="275">
        <f t="shared" si="0"/>
        <v>1870.93</v>
      </c>
      <c r="H21" s="271"/>
      <c r="P21" s="337"/>
    </row>
    <row r="22" spans="1:16" ht="23.25" customHeight="1">
      <c r="A22" s="268" t="s">
        <v>259</v>
      </c>
      <c r="B22" s="354" t="s">
        <v>595</v>
      </c>
      <c r="C22" s="295">
        <v>374.19</v>
      </c>
      <c r="D22" s="804"/>
      <c r="E22" s="275">
        <f t="shared" si="0"/>
        <v>374.19</v>
      </c>
      <c r="G22" s="339"/>
      <c r="H22" s="339"/>
      <c r="I22" s="339"/>
      <c r="J22" s="339"/>
      <c r="K22" s="339"/>
      <c r="L22" s="339"/>
      <c r="M22" s="339"/>
      <c r="N22" s="339"/>
      <c r="O22" s="339"/>
      <c r="P22" s="339"/>
    </row>
    <row r="23" spans="1:11" ht="26.25" customHeight="1">
      <c r="A23" s="268" t="s">
        <v>260</v>
      </c>
      <c r="B23" s="353" t="s">
        <v>303</v>
      </c>
      <c r="C23" s="295">
        <v>850</v>
      </c>
      <c r="D23" s="804"/>
      <c r="E23" s="275">
        <f t="shared" si="0"/>
        <v>850</v>
      </c>
      <c r="H23" s="271"/>
      <c r="K23" s="338"/>
    </row>
    <row r="24" spans="1:16" ht="20.25" customHeight="1">
      <c r="A24" s="268" t="s">
        <v>261</v>
      </c>
      <c r="B24" s="353" t="s">
        <v>264</v>
      </c>
      <c r="C24" s="295">
        <v>12914.7</v>
      </c>
      <c r="D24" s="804"/>
      <c r="E24" s="275">
        <f t="shared" si="0"/>
        <v>12914.7</v>
      </c>
      <c r="G24" s="340"/>
      <c r="H24" s="340"/>
      <c r="I24" s="341"/>
      <c r="J24" s="341"/>
      <c r="K24" s="340"/>
      <c r="L24" s="341"/>
      <c r="M24" s="341"/>
      <c r="N24" s="341"/>
      <c r="O24" s="341"/>
      <c r="P24" s="342"/>
    </row>
    <row r="25" spans="1:8" ht="31.5" customHeight="1">
      <c r="A25" s="268" t="s">
        <v>262</v>
      </c>
      <c r="B25" s="353" t="s">
        <v>390</v>
      </c>
      <c r="C25" s="295">
        <v>997.83</v>
      </c>
      <c r="D25" s="804"/>
      <c r="E25" s="275">
        <f t="shared" si="0"/>
        <v>997.83</v>
      </c>
      <c r="F25" s="271"/>
      <c r="H25" s="271"/>
    </row>
    <row r="26" spans="1:8" ht="20.25" customHeight="1">
      <c r="A26" s="268" t="s">
        <v>263</v>
      </c>
      <c r="B26" s="353" t="s">
        <v>392</v>
      </c>
      <c r="C26" s="295">
        <v>602.01</v>
      </c>
      <c r="D26" s="804"/>
      <c r="E26" s="275">
        <f t="shared" si="0"/>
        <v>602.01</v>
      </c>
      <c r="F26" s="271"/>
      <c r="H26" s="271"/>
    </row>
    <row r="27" spans="1:7" s="277" customFormat="1" ht="21.75" customHeight="1">
      <c r="A27" s="276"/>
      <c r="B27" s="355" t="s">
        <v>320</v>
      </c>
      <c r="C27" s="269">
        <f>SUM(C7:C26)</f>
        <v>8347258.2</v>
      </c>
      <c r="D27" s="804">
        <f>SUM(D7:D26)</f>
        <v>0</v>
      </c>
      <c r="E27" s="269">
        <f>SUM(E7:E26)</f>
        <v>8347258.199999999</v>
      </c>
      <c r="F27" s="280"/>
      <c r="G27" s="282"/>
    </row>
    <row r="28" spans="1:7" ht="37.5" customHeight="1">
      <c r="A28" s="268" t="s">
        <v>452</v>
      </c>
      <c r="B28" s="353" t="s">
        <v>322</v>
      </c>
      <c r="C28" s="267">
        <v>170000</v>
      </c>
      <c r="D28" s="804"/>
      <c r="E28" s="267">
        <f>C28+D28</f>
        <v>170000</v>
      </c>
      <c r="F28" s="281"/>
      <c r="G28" s="271"/>
    </row>
    <row r="29" spans="1:7" ht="26.25" customHeight="1">
      <c r="A29" s="269"/>
      <c r="B29" s="270" t="s">
        <v>321</v>
      </c>
      <c r="C29" s="269">
        <f>C28+C27</f>
        <v>8517258.2</v>
      </c>
      <c r="D29" s="804">
        <f>D28+D27</f>
        <v>0</v>
      </c>
      <c r="E29" s="269">
        <f>E28+E27</f>
        <v>8517258.2</v>
      </c>
      <c r="F29" s="280">
        <v>8517258.200000001</v>
      </c>
      <c r="G29" s="271">
        <f>E29-C29</f>
        <v>0</v>
      </c>
    </row>
    <row r="30" spans="3:7" ht="24" customHeight="1">
      <c r="C30" s="280">
        <v>8517258.2</v>
      </c>
      <c r="G30" s="271"/>
    </row>
    <row r="31" ht="15.75">
      <c r="C31" s="271">
        <f>C30-C29</f>
        <v>0</v>
      </c>
    </row>
  </sheetData>
  <sheetProtection/>
  <mergeCells count="6">
    <mergeCell ref="A3:E3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kazanceva</cp:lastModifiedBy>
  <cp:lastPrinted>2024-01-28T02:07:32Z</cp:lastPrinted>
  <dcterms:created xsi:type="dcterms:W3CDTF">1996-10-08T23:32:33Z</dcterms:created>
  <dcterms:modified xsi:type="dcterms:W3CDTF">2024-02-26T01:02:42Z</dcterms:modified>
  <cp:category/>
  <cp:version/>
  <cp:contentType/>
  <cp:contentStatus/>
</cp:coreProperties>
</file>