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585" tabRatio="996" activeTab="5"/>
  </bookViews>
  <sheets>
    <sheet name="1. АМП" sheetId="1" r:id="rId1"/>
    <sheet name="1.1. ПРОФ.МЕРОПРИЯТИЯ" sheetId="2" r:id="rId2"/>
    <sheet name="1.2. Диспансерное наблюдение" sheetId="3" r:id="rId3"/>
    <sheet name="1.3. ИССЛЕДОВАНИЯ" sheetId="4" r:id="rId4"/>
    <sheet name="2. КС" sheetId="5" r:id="rId5"/>
    <sheet name="3. ДС" sheetId="6" r:id="rId6"/>
    <sheet name="4. СМП" sheetId="7" r:id="rId7"/>
    <sheet name="5. УСЛУГИ ДИАЛИЗА" sheetId="8" r:id="rId8"/>
    <sheet name="6. Объем фин.обеспечения" sheetId="9" r:id="rId9"/>
    <sheet name="10. объём доп. фед. средств" sheetId="10" state="hidden" r:id="rId10"/>
  </sheets>
  <externalReferences>
    <externalReference r:id="rId13"/>
    <externalReference r:id="rId14"/>
  </externalReferences>
  <definedNames>
    <definedName name="_xlnm._FilterDatabase" localSheetId="5" hidden="1">'3. ДС'!$A$8:$Q$155</definedName>
    <definedName name="_xlnm.Print_Titles" localSheetId="0">'1. АМП'!$9:$11</definedName>
    <definedName name="_xlnm.Print_Titles" localSheetId="3">'1.3. ИССЛЕДОВАНИЯ'!$6:$7</definedName>
    <definedName name="_xlnm.Print_Titles" localSheetId="4">'2. КС'!$6:$6</definedName>
    <definedName name="_xlnm.Print_Titles" localSheetId="5">'3. ДС'!$7:$8</definedName>
    <definedName name="_xlnm.Print_Area" localSheetId="0">'1. АМП'!$A$1:$F$405</definedName>
    <definedName name="_xlnm.Print_Area" localSheetId="1">'1.1. ПРОФ.МЕРОПРИЯТИЯ'!$A$1:$I$23</definedName>
    <definedName name="_xlnm.Print_Area" localSheetId="3">'1.3. ИССЛЕДОВАНИЯ'!$A$1:$L$81</definedName>
    <definedName name="_xlnm.Print_Area" localSheetId="4">'2. КС'!$A$1:$D$202</definedName>
    <definedName name="_xlnm.Print_Area" localSheetId="5">'3. ДС'!$A$1:$F$147</definedName>
    <definedName name="_xlnm.Print_Area" localSheetId="6">'4. СМП'!$A$1:$C$13</definedName>
    <definedName name="_xlnm.Print_Area" localSheetId="7">'5. УСЛУГИ ДИАЛИЗА'!$A$1:$R$30</definedName>
    <definedName name="_xlnm.Print_Area" localSheetId="8">'6. Объем фин.обеспечения'!$A$1:$E$31</definedName>
  </definedNames>
  <calcPr fullCalcOnLoad="1"/>
</workbook>
</file>

<file path=xl/comments1.xml><?xml version="1.0" encoding="utf-8"?>
<comments xmlns="http://schemas.openxmlformats.org/spreadsheetml/2006/main">
  <authors>
    <author>kazanceva</author>
  </authors>
  <commentList>
    <comment ref="B148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09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30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15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11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375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<sst xmlns="http://schemas.openxmlformats.org/spreadsheetml/2006/main" count="867" uniqueCount="547">
  <si>
    <t>Терапия</t>
  </si>
  <si>
    <t>Урология</t>
  </si>
  <si>
    <t>Офтальмология</t>
  </si>
  <si>
    <t>Неврология</t>
  </si>
  <si>
    <t>НАИМЕНОВАНИЕ СПЕЦИАЛЬНОСТИ</t>
  </si>
  <si>
    <t>Эндокринология</t>
  </si>
  <si>
    <t>Онкология</t>
  </si>
  <si>
    <t>ИТОГО:</t>
  </si>
  <si>
    <t>Нефрология</t>
  </si>
  <si>
    <t>Гастроэнтерология</t>
  </si>
  <si>
    <t>Пульмонология</t>
  </si>
  <si>
    <t>Гематология</t>
  </si>
  <si>
    <t>Нейрохирургия</t>
  </si>
  <si>
    <t>Дерматология</t>
  </si>
  <si>
    <t>ВСЕГО АМБУЛАТОРНО-ПОЛИКЛИНИЧЕСКАЯ ПОМОЩЬ</t>
  </si>
  <si>
    <t>Гастроэнтерологические</t>
  </si>
  <si>
    <t>Гематологические</t>
  </si>
  <si>
    <t>Кардиологические</t>
  </si>
  <si>
    <t>Нефрологические</t>
  </si>
  <si>
    <t>Офтальмологические</t>
  </si>
  <si>
    <t>Пульмонологические</t>
  </si>
  <si>
    <t>Терапевтические</t>
  </si>
  <si>
    <t>Эндокринологические</t>
  </si>
  <si>
    <t>Инфекционные взрослые</t>
  </si>
  <si>
    <t>Педиатрические</t>
  </si>
  <si>
    <t>Инфекционные детские</t>
  </si>
  <si>
    <t xml:space="preserve">Неврологические </t>
  </si>
  <si>
    <t>Сосудистой хирургии</t>
  </si>
  <si>
    <t>Инфекционные</t>
  </si>
  <si>
    <t xml:space="preserve">Хирургические </t>
  </si>
  <si>
    <t xml:space="preserve">Патология новорожденных </t>
  </si>
  <si>
    <t>Неврологические</t>
  </si>
  <si>
    <t>ВСЕГО:</t>
  </si>
  <si>
    <t>Хирургия</t>
  </si>
  <si>
    <t>Детская хирургия</t>
  </si>
  <si>
    <t>Стоматология</t>
  </si>
  <si>
    <t>ФАП</t>
  </si>
  <si>
    <t>Нейрохирургические</t>
  </si>
  <si>
    <t>Акушерство-гинекология</t>
  </si>
  <si>
    <t>Челюстно-лицевой хирургии</t>
  </si>
  <si>
    <t>Ревматология</t>
  </si>
  <si>
    <t>ГБУЗ "Магаданская областная больница"</t>
  </si>
  <si>
    <t>Стоматолог взрослый</t>
  </si>
  <si>
    <t>Стоматолог детский</t>
  </si>
  <si>
    <t>посещения по неотложной помощи</t>
  </si>
  <si>
    <t>обращения по заболеваниям</t>
  </si>
  <si>
    <t>Врач общей практики</t>
  </si>
  <si>
    <t>ВСЕГО скорая медицинская помощь</t>
  </si>
  <si>
    <t>Урологические</t>
  </si>
  <si>
    <t>Дерматологические</t>
  </si>
  <si>
    <t>Колопроктологические</t>
  </si>
  <si>
    <t>Ревматологические</t>
  </si>
  <si>
    <t>Дерматологические (для детей)</t>
  </si>
  <si>
    <t>из них для производства абортов</t>
  </si>
  <si>
    <t>ГБУЗ "Магаданская областная детская больница"</t>
  </si>
  <si>
    <t>ООО "ЭКО-ЦЕНТР"</t>
  </si>
  <si>
    <t>Центр дерматовенерологии</t>
  </si>
  <si>
    <t>Акушерство-гинекология (ЭКО)</t>
  </si>
  <si>
    <t xml:space="preserve"> </t>
  </si>
  <si>
    <t>ИТОГО</t>
  </si>
  <si>
    <t>ВСЕГО ГБУЗ "МОБ"</t>
  </si>
  <si>
    <t>Акушерское дело</t>
  </si>
  <si>
    <t>Колопроктология</t>
  </si>
  <si>
    <t>ВСЕГО</t>
  </si>
  <si>
    <t>Кардиология</t>
  </si>
  <si>
    <t>Неонатология</t>
  </si>
  <si>
    <t>Травматология и ортопедия</t>
  </si>
  <si>
    <t>Хирургия (комбустиология)</t>
  </si>
  <si>
    <t>Акушерство и гинекология</t>
  </si>
  <si>
    <t>Оториноларингология</t>
  </si>
  <si>
    <t>Медицинская реабилитация</t>
  </si>
  <si>
    <t>Гериатрия</t>
  </si>
  <si>
    <t>Детская кардиология</t>
  </si>
  <si>
    <t>Детская эндокринология</t>
  </si>
  <si>
    <t>№ п/п</t>
  </si>
  <si>
    <t>Аллергология-иммунология</t>
  </si>
  <si>
    <t>Отоларингология</t>
  </si>
  <si>
    <t>Аллергология-имуннология</t>
  </si>
  <si>
    <t>Инфекционные заболевания</t>
  </si>
  <si>
    <t>Средний медперсонал, ведущий самостоятельный прием</t>
  </si>
  <si>
    <t>Онкологические (хирургические)</t>
  </si>
  <si>
    <t>Онкологические (химиотерапевтические)</t>
  </si>
  <si>
    <t>Акушерское дело (сестренский уход)</t>
  </si>
  <si>
    <t>Геронтологические</t>
  </si>
  <si>
    <t>Наименование профиля коек</t>
  </si>
  <si>
    <t>Травматология и ортопедия (Ортопедические)</t>
  </si>
  <si>
    <t>1.1</t>
  </si>
  <si>
    <t>без контрастирование</t>
  </si>
  <si>
    <t>1.2</t>
  </si>
  <si>
    <t xml:space="preserve"> с внутривенным контрастированием</t>
  </si>
  <si>
    <t>1.3</t>
  </si>
  <si>
    <t>иные</t>
  </si>
  <si>
    <t>2.1</t>
  </si>
  <si>
    <t>2.2</t>
  </si>
  <si>
    <t>2.3</t>
  </si>
  <si>
    <t>3.1</t>
  </si>
  <si>
    <t>3.2</t>
  </si>
  <si>
    <t>3.3</t>
  </si>
  <si>
    <t>3.4</t>
  </si>
  <si>
    <t>5.1</t>
  </si>
  <si>
    <t>5.2</t>
  </si>
  <si>
    <t>5.3</t>
  </si>
  <si>
    <t>5.4</t>
  </si>
  <si>
    <t>5.5</t>
  </si>
  <si>
    <t>5.6</t>
  </si>
  <si>
    <t>Наименвание исследования</t>
  </si>
  <si>
    <t>ООО "Кристалл"</t>
  </si>
  <si>
    <t>ВСЕГО посещений</t>
  </si>
  <si>
    <t>Акушерство-гинекология (патология шейки  матки)</t>
  </si>
  <si>
    <t>ПРИЛОЖЕНИЕ</t>
  </si>
  <si>
    <t xml:space="preserve">к Решению комиссии по разработке </t>
  </si>
  <si>
    <t>4. СКОРАЯ МЕДИЦИНСКАЯ ПОМОЩЬ</t>
  </si>
  <si>
    <t>НАИМЕНОВАНИЕ МЕДИЦИНСКОЙ ОРГАНИЗАЦИИ</t>
  </si>
  <si>
    <t>ООО "ЮНИЛАБ-ХАБАРОВСК"</t>
  </si>
  <si>
    <t xml:space="preserve">Бактериологическое исследование материала на флору и чуствительность к антибиотикам (отделяемое цервикального канала,ушей,глаз,зева и носа- одна локализация (хромогенные среды) </t>
  </si>
  <si>
    <t xml:space="preserve">А/т к циклическому цитрулиновому пептиду (А-ССР) </t>
  </si>
  <si>
    <t>Антитела к Sacchharomyces cerevisiae IgA (болезнь Крона)</t>
  </si>
  <si>
    <t>Антитела к Sacchharomyces cerevisiae IgG (болезнь Крона)</t>
  </si>
  <si>
    <t>Специфические антитела на дерматомиозит,полимиозит,миозит</t>
  </si>
  <si>
    <t>Антиядерные антитела (ANA)  (ИММУНОБЛОТ) К</t>
  </si>
  <si>
    <t>1 (NSE) Нейрон -специфическая енолаза (сыворотка)</t>
  </si>
  <si>
    <t>1 Хромогранин А К (отобранная сыворотка)</t>
  </si>
  <si>
    <t>8.1</t>
  </si>
  <si>
    <t>8.2</t>
  </si>
  <si>
    <t>УЗИ лифматических узлов</t>
  </si>
  <si>
    <t>УЗИ молочных желез (2-х )</t>
  </si>
  <si>
    <t>Услуги гемодиализа</t>
  </si>
  <si>
    <t>Гемодиализ</t>
  </si>
  <si>
    <t>Гемодиализ интермиттирующий низкопоточный</t>
  </si>
  <si>
    <t>Гемодиализ интермиттирующий высокопоточный</t>
  </si>
  <si>
    <t>Гемодиафильтрация</t>
  </si>
  <si>
    <t>Ультрафильтрация крови</t>
  </si>
  <si>
    <t>Гемодиализ интермиттирующий продленный</t>
  </si>
  <si>
    <t>Гемофильтрация крови</t>
  </si>
  <si>
    <t>Ультрафильтрация продленная</t>
  </si>
  <si>
    <t>Гемодиафильтрация продленная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</si>
  <si>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</si>
  <si>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</si>
  <si>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</si>
  <si>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Услуги перитонеального диализа</t>
  </si>
  <si>
    <t>Перитонеальный диализ</t>
  </si>
  <si>
    <t>Перитонеальный диализ проточный</t>
  </si>
  <si>
    <t>Перитонеальный диализ с использованием автоматизированных технологий</t>
  </si>
  <si>
    <t>Перитонеальный диализ при нарушении ультрафильтрации</t>
  </si>
  <si>
    <t>6.  УСЛУГИ ДИАЛИЗА</t>
  </si>
  <si>
    <t xml:space="preserve"> - диспансеризация детей-сирот в стационарных учреждениях;</t>
  </si>
  <si>
    <t xml:space="preserve"> - диспансеризация детей-сирот, оставшихся без попечения родителей, в т.ч. усыновленных;</t>
  </si>
  <si>
    <t xml:space="preserve"> - профилактические осмотры несовершеннолетних</t>
  </si>
  <si>
    <t>допплерография сосудов</t>
  </si>
  <si>
    <t>дуплексное сканирование сосудов</t>
  </si>
  <si>
    <t>бронхоскопия</t>
  </si>
  <si>
    <t>эзофагогастродуоденоскопия</t>
  </si>
  <si>
    <t>интестиноскопия</t>
  </si>
  <si>
    <t>колоноскопия</t>
  </si>
  <si>
    <t>ректосигмоидоскопия</t>
  </si>
  <si>
    <t>видеокапсульные исследования</t>
  </si>
  <si>
    <t>эндосонография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</si>
  <si>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</si>
  <si>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</si>
  <si>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</si>
  <si>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</si>
  <si>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</si>
  <si>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</si>
  <si>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</si>
  <si>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</si>
  <si>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>Эхокардиография</t>
  </si>
  <si>
    <t>8.3</t>
  </si>
  <si>
    <t xml:space="preserve">  - высокотехнологичная медицинская помощь</t>
  </si>
  <si>
    <t xml:space="preserve"> -  медицинская помощь по профилю "Онкология"</t>
  </si>
  <si>
    <t>№ группы ВМП</t>
  </si>
  <si>
    <t>Случаи госпитализации</t>
  </si>
  <si>
    <t>ВСЕГО по ГБУЗ "МОБ", из них:</t>
  </si>
  <si>
    <t>ВСЕГО ПО СТАЦИОНАРНОЙ МЕДИЦИНСКОЙ ПОМОЩИ, из них:</t>
  </si>
  <si>
    <t xml:space="preserve"> - медицинская реабилитация</t>
  </si>
  <si>
    <t>Лечение граждан застрахованных на территории Магаданской области в других субъектах Российской Федерации</t>
  </si>
  <si>
    <t xml:space="preserve">Стационар дневного пребывания </t>
  </si>
  <si>
    <t>Дневной стационар при поликлинике</t>
  </si>
  <si>
    <t>Дневной стационар на дому</t>
  </si>
  <si>
    <t>Случаев лечения</t>
  </si>
  <si>
    <t>ИТОГО ОБЪЕМ МЕДИЦИНСКОЙ ПОМОЩИ В УСЛОВИЯХ ДНЕВНОГО СТАЦИОНАРА</t>
  </si>
  <si>
    <t>Онкологические (Радиологические)</t>
  </si>
  <si>
    <t>ИТОГО МО вошедшие в реестр с других территорий, из них:</t>
  </si>
  <si>
    <t xml:space="preserve"> - ЭКО</t>
  </si>
  <si>
    <t>ВСЕГО ОБЪЕМ МЕДИЦИНСКОЙ ПОМОЩИ В УСЛОВИЯХ ДНЕВНОГО СТАЦИОНАРА, ИЗ НИХ:</t>
  </si>
  <si>
    <t>Лечение граждан застрахованных на территории Магаданской области в других субъектах Российской Федерации, из них:</t>
  </si>
  <si>
    <t>КОЛИЧЕСТВО ВЫЗОВОВ</t>
  </si>
  <si>
    <t>Патологоанатомического исследования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</si>
  <si>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9.1</t>
  </si>
  <si>
    <t>9.2</t>
  </si>
  <si>
    <t>8.4</t>
  </si>
  <si>
    <t>8.5</t>
  </si>
  <si>
    <t>8.6</t>
  </si>
  <si>
    <t>8.7</t>
  </si>
  <si>
    <t>8.8</t>
  </si>
  <si>
    <t>Тестирования на выявление новой коронавирусной инфекции (COVID-19)</t>
  </si>
  <si>
    <t>Амбулаторная медицинская помощь</t>
  </si>
  <si>
    <t>с профилактической и иной целью</t>
  </si>
  <si>
    <t>Лечение за пределами Магаданской области</t>
  </si>
  <si>
    <t>Клинико-диагностические исследования:</t>
  </si>
  <si>
    <t>Эндоскопического диагностического исследования:</t>
  </si>
  <si>
    <t>Компьютерная томография:</t>
  </si>
  <si>
    <t>Магнитно-резонансные томографии:</t>
  </si>
  <si>
    <t>Итого ЦАОП:</t>
  </si>
  <si>
    <t xml:space="preserve"> - профилактические медицинские осмотры взрослого населения</t>
  </si>
  <si>
    <t>ИТОГО лечение за пределами Магаданской области (МТР):</t>
  </si>
  <si>
    <t>Наименование медицинской организации</t>
  </si>
  <si>
    <t>в том числе:</t>
  </si>
  <si>
    <t>Диспансеризация определенных групп взрослого населения</t>
  </si>
  <si>
    <t>несовершеннолетних</t>
  </si>
  <si>
    <t>взрослого населения</t>
  </si>
  <si>
    <t>КС</t>
  </si>
  <si>
    <t>ДС</t>
  </si>
  <si>
    <t>АМП</t>
  </si>
  <si>
    <t>Стоматология, в том числе:</t>
  </si>
  <si>
    <t xml:space="preserve"> - для взрослых</t>
  </si>
  <si>
    <t xml:space="preserve"> - для детей</t>
  </si>
  <si>
    <t>Центр здоровья, в том числе:</t>
  </si>
  <si>
    <t xml:space="preserve"> - педиатрия</t>
  </si>
  <si>
    <t xml:space="preserve"> - терапия</t>
  </si>
  <si>
    <t>МОГБУЗ "Городская поликлиника"</t>
  </si>
  <si>
    <t>Диспансеризация детей сирот в стационарных учреждениях</t>
  </si>
  <si>
    <t>Центр амбулаторной онкологической помощи:</t>
  </si>
  <si>
    <t>Итого поликлиника:</t>
  </si>
  <si>
    <t>ГБУЗ «Магаданская областная больница»</t>
  </si>
  <si>
    <t>Акушерство и гинекология (койки для берменных и рожениц)</t>
  </si>
  <si>
    <t>Акушерство и гинекология (койки патологии беременности)</t>
  </si>
  <si>
    <t>Акушерство и гинекология (койки гинекологические)</t>
  </si>
  <si>
    <t>Детская урология-андрология</t>
  </si>
  <si>
    <t xml:space="preserve">Акушерство и гинекология </t>
  </si>
  <si>
    <t xml:space="preserve">Онкологические </t>
  </si>
  <si>
    <t>ИТОГО НА ТЕРРИТОРИИ ОБЛАСТИ</t>
  </si>
  <si>
    <t>Наименование организации</t>
  </si>
  <si>
    <t>МОГБУЗ "Станция скорой медицинской помощи"</t>
  </si>
  <si>
    <t>ООО "ВИТА"</t>
  </si>
  <si>
    <t>ООО "Вита-Дент"</t>
  </si>
  <si>
    <t>ООО "Дантист"</t>
  </si>
  <si>
    <t>ООО "Дантист-Плюс"</t>
  </si>
  <si>
    <t>ООО "Дантист XXI век"</t>
  </si>
  <si>
    <t>ООО "Стоматологический кабинет "Доверие"</t>
  </si>
  <si>
    <t>ООО "Мой доктор""</t>
  </si>
  <si>
    <t>ООО "ЮНИЛАБ - Хабаровск"</t>
  </si>
  <si>
    <t>Челюстно-лицевая хирургия</t>
  </si>
  <si>
    <t>4. ГАУ РС (Я) "Якутская республиканская офтальмологическая клиническая больница"</t>
  </si>
  <si>
    <t xml:space="preserve">4. МОГБУЗ "Городская поликлиника" </t>
  </si>
  <si>
    <t xml:space="preserve">1. ГБУЗ "Магаданская областная больница" </t>
  </si>
  <si>
    <t xml:space="preserve">1. ГБУЗ "МАГАДАНСКАЯ ОБЛАСТНАЯ БОЛЬНИЦА" </t>
  </si>
  <si>
    <t>5. ООО "ЭКО-ЦЕНТР"</t>
  </si>
  <si>
    <t>Диспансеризация, всего</t>
  </si>
  <si>
    <t>Профилактические осмотры, всего</t>
  </si>
  <si>
    <t>углубленная диспансеризация</t>
  </si>
  <si>
    <t>МОГБУЗ "Городская поликлиника "</t>
  </si>
  <si>
    <t>ГБУЗ "Магаданская областная больница", всего</t>
  </si>
  <si>
    <t>в том числе, в разрезе филиалов:</t>
  </si>
  <si>
    <t>Филиал "Ольская районная больница" ГБУЗ "МОБ"</t>
  </si>
  <si>
    <t>Филиал "Омсукчанская районная больница" ГБУЗ "МОБ"</t>
  </si>
  <si>
    <t>Филиал "Среднеканская районная больница" ГБУЗ "МОБ"</t>
  </si>
  <si>
    <t>Филиал "Сусуманская районная больница" ГБУЗ "МОБ"</t>
  </si>
  <si>
    <t>Филиал "Северо-Эвенская районная больница" ГБУЗ "МОБ"</t>
  </si>
  <si>
    <t>Филиал "Тенькинская районная больница" ГБУЗ "МОБ"</t>
  </si>
  <si>
    <t>Филиал "Хасынская районная больница" ГБУЗ "МОБ"</t>
  </si>
  <si>
    <t>Филиал "Ягоднинская районная больница" ГБУЗ "МОБ"</t>
  </si>
  <si>
    <t>Диспансеризация детей сирот, оставшихся без попечения родителей, в т.ч. усыновленных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</si>
  <si>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</si>
  <si>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</si>
  <si>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</si>
  <si>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</si>
  <si>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</si>
  <si>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</si>
  <si>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</si>
  <si>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</si>
  <si>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</si>
  <si>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</si>
  <si>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</si>
  <si>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</si>
  <si>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</si>
  <si>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</si>
  <si>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</si>
  <si>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</si>
  <si>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</si>
  <si>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</si>
  <si>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ООО "МИР"</t>
  </si>
  <si>
    <t>21</t>
  </si>
  <si>
    <t xml:space="preserve">Дерматология </t>
  </si>
  <si>
    <t>Итого:</t>
  </si>
  <si>
    <t>в т.ч. онкогематология</t>
  </si>
  <si>
    <t>Медицинская реабилитация (дети)</t>
  </si>
  <si>
    <t>Таблица 6</t>
  </si>
  <si>
    <t>Таблица 4</t>
  </si>
  <si>
    <t>Таблица 3</t>
  </si>
  <si>
    <t>Таблица 2</t>
  </si>
  <si>
    <t>Таблица 1</t>
  </si>
  <si>
    <t>2. МЕДИЦИНСКАЯ ПОМОЩЬ В УСЛОВИЯХ КРУГЛОСУТОЧНОГО СТАЦИОНАРА,  В ТОМ ЧИСЛЕ ВЫСОКОТЕХНОЛОГИЧНАЯ МЕДИЦИНСКАЯ ПОМОЩЬ</t>
  </si>
  <si>
    <t xml:space="preserve">1. АМБУЛАТОРНАЯ МЕДИЦИНСКАЯ ПОМОЩЬ </t>
  </si>
  <si>
    <t xml:space="preserve">3. МЕДИЦИНСКАЯ ПОМОЩЬ В УСЛОВИЯХ  ДНЕВНЫХ СТАЦИОНАРОВ </t>
  </si>
  <si>
    <r>
      <t xml:space="preserve">             </t>
    </r>
    <r>
      <rPr>
        <b/>
        <sz val="11"/>
        <color indexed="8"/>
        <rFont val="Times New Roman"/>
        <family val="1"/>
      </rPr>
      <t xml:space="preserve">ИНФОРМАЦИЯ           </t>
    </r>
  </si>
  <si>
    <t>Наименование МО</t>
  </si>
  <si>
    <t>тыс. рублей</t>
  </si>
  <si>
    <t>ВСЕГО ЗА СЧЁТ ФЕДЕРАЛЬНЫХ СРЕДСТВ:</t>
  </si>
  <si>
    <t xml:space="preserve"> о дополнительном финансовом обеспечении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территориальной программы обязательного медицинского страхования</t>
  </si>
  <si>
    <t>В РАМКАХ РЕАЛИЗАЦИИ РАСПОРЯЖЕНИЙ ПРАВИТЕЛЬСТВА РОССИЙСКОЙ ФЕДЕРАЦИИ:</t>
  </si>
  <si>
    <t>ВСЕГО МО НА ТЕРРИТОИИ МАГДАНСКОЙ ОБЛАСТИ, из них:</t>
  </si>
  <si>
    <t>5. ООО "ДАНТИСТ XXI ВЕК"</t>
  </si>
  <si>
    <t>из них, высокотехнологичная медицинская помощь:</t>
  </si>
  <si>
    <t>Радиологические</t>
  </si>
  <si>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биологическими материалами</t>
  </si>
  <si>
    <t>Реконструктивно-пластические операции на костях таза, верхних и нижних конечностях с использованием погружных или наружных фиксирующих устройств, синтетических и биологических остеозамещающих материалов, компьютерной навигации</t>
  </si>
  <si>
    <t>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 и системных заболеваниях, в том числе с использованием компьютерной навигации</t>
  </si>
  <si>
    <t>Травматология и ортопедия (Травматологические)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</si>
  <si>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</si>
  <si>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</si>
  <si>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</si>
  <si>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</si>
  <si>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</si>
  <si>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</si>
  <si>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</si>
  <si>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</si>
  <si>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</si>
  <si>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</si>
  <si>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</si>
  <si>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</si>
  <si>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</si>
  <si>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</si>
  <si>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Маммография</t>
  </si>
  <si>
    <t>ГБУЗ "МОДФиИЗ"</t>
  </si>
  <si>
    <t>ГАУ РС (Я) "ЯРОКБ"</t>
  </si>
  <si>
    <t>Исследование уровня тиреотропного гормона (ТТГ) в крови</t>
  </si>
  <si>
    <t>Исследование уровня свободного тироксина (СТ4) сыворотки крови</t>
  </si>
  <si>
    <t>Исследование уровня свободного трийодтиронина (СТ3) в крови</t>
  </si>
  <si>
    <t>Определение содержания антител к тиреопероксидазе в крови (anti-ТПО)</t>
  </si>
  <si>
    <t>Исследование уровня простатспецифического антигена общего в крови (ПСА общий)</t>
  </si>
  <si>
    <t>Исследование уровня антигена аденогенных раков CA 125 в крови</t>
  </si>
  <si>
    <t>Исследование уровня пролактина в крови</t>
  </si>
  <si>
    <t>Исследование уровня лютеинизирующего гормона в сыворотке крови (ЛГ)</t>
  </si>
  <si>
    <t xml:space="preserve">Исследование уровня фолликулостимулирующего гормона в сыворотке крови (ФСГ) </t>
  </si>
  <si>
    <t>Исследование уровня общего иммуноглобулина E в крови (IgE)</t>
  </si>
  <si>
    <t>Определение содержания антител к рецептору тиреотропного гормона (ТТГ) в крови</t>
  </si>
  <si>
    <t>Исследование уровня простатспецифического антигена свободного в крови (ПСА св.)</t>
  </si>
  <si>
    <t>Исследование уровня кальцитонина в крови</t>
  </si>
  <si>
    <t>Исследование уровня кортизола в крови</t>
  </si>
  <si>
    <t>10.1</t>
  </si>
  <si>
    <t>10.2</t>
  </si>
  <si>
    <t>Рентгеноденситометрия</t>
  </si>
  <si>
    <t>ИТОГО медицинская помощь на территории страхования</t>
  </si>
  <si>
    <t>ВСЕГО ТПОМС:</t>
  </si>
  <si>
    <t>Медицинская помощь за пределами территории страхования (МТР)</t>
  </si>
  <si>
    <t>Код койки (v020)</t>
  </si>
  <si>
    <t>Оториноларингологические</t>
  </si>
  <si>
    <t xml:space="preserve">Информация о распределении объема финансового обеспечения медицинской помощи, оказываемой медицинскими организациями, осуществляющими деятельность в сфере обязательного медицинского страхования Магаданской области в 2023 году </t>
  </si>
  <si>
    <t xml:space="preserve"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</si>
  <si>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1 стента в сосуд (сосуды)</t>
  </si>
  <si>
    <t>Эндоваскулярная, хирургическая коррекция нарушений ритма сердца без имплантации кардиовертера-дефибриллятора у взрослых (имплантация частотно-адаптированного однокамерного кардиостимулятора)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</si>
  <si>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3 стентов (баллонная вазодилатация с установкой 3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</si>
  <si>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2 стентов (баллонная вазодилатация с установкой 2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</si>
  <si>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1 стента (ишемическая болезнь сердца со стенозированием 1 коронарной артерии)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</si>
  <si>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3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</si>
  <si>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2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</si>
  <si>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1 стента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</si>
  <si>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3 стентов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</si>
  <si>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2 стентов в сосуд (сосуды)</t>
  </si>
  <si>
    <t xml:space="preserve"> 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</si>
  <si>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7. ООО "Приморский центр микрохирургии глаза"</t>
  </si>
  <si>
    <t>5.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</si>
  <si>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 xml:space="preserve">6. ООО "Центр инновационной эмбриологии и репродуктологии "ЭМБРИЛАЙФ" </t>
  </si>
  <si>
    <t>Медицинская реабилитация (соматические)</t>
  </si>
  <si>
    <t>Медицинская реабилитация (Реабилитационные для больных с заболеваниями опорно-двигательного аппарата периферической нервной системы)</t>
  </si>
  <si>
    <t>Реабилитационные для больных с заболеваниями ЦНС и органов чувств</t>
  </si>
  <si>
    <t>Реабилитационные соматические</t>
  </si>
  <si>
    <t>Педиатрия, всего, из них:</t>
  </si>
  <si>
    <t>Терапия, всего, из них:</t>
  </si>
  <si>
    <t xml:space="preserve">             углубленная диспансеризация</t>
  </si>
  <si>
    <t xml:space="preserve"> - диспансеризация определенных групп взрослого населения, всего, из них: </t>
  </si>
  <si>
    <t>из них,                                                                                               1) профилактические мероприятия (комплексные посещения), в том числе:</t>
  </si>
  <si>
    <t>Специализация</t>
  </si>
  <si>
    <t>обособленное структурное подразделение "Онкологический дисп-р" ГБУЗ  "МОБ"</t>
  </si>
  <si>
    <t>филиал  "Ольская РБ" ГБУЗ "МОБ"</t>
  </si>
  <si>
    <t>филиал "Омсукчанская ГБУЗ "МОБ"</t>
  </si>
  <si>
    <t>филиал "Северо-Эвенская РБ" ГБУЗ "МОБ"</t>
  </si>
  <si>
    <t>филиал "Среднеканская РБ" ГБУЗ "МОБ"</t>
  </si>
  <si>
    <t>филиал "Сусуманская РБ" ГБУЗ "МОБ"</t>
  </si>
  <si>
    <t xml:space="preserve"> филиал "Тенькинская РБ" ГБУЗ "МОБ"</t>
  </si>
  <si>
    <t>филиал "Хасынская РБ" ГБУЗ "МОБ"</t>
  </si>
  <si>
    <t>филиал "Ягоднинская РБ" ГБУЗ "МОБ"</t>
  </si>
  <si>
    <t>Итого</t>
  </si>
  <si>
    <t xml:space="preserve">ГБУЗ "Магаданская областная детская больница" </t>
  </si>
  <si>
    <t xml:space="preserve">ГБУЗ "Магаданская областная больница" </t>
  </si>
  <si>
    <t>Таблица 10</t>
  </si>
  <si>
    <t>Таблица 1.1.</t>
  </si>
  <si>
    <t>Таблица 1.2.</t>
  </si>
  <si>
    <t>Таблица 1.3.</t>
  </si>
  <si>
    <t>1.3.  ОБЪЁМЫ НА САМОСТОЯТЕЛЬНЫЕ ДИАГНОСТИЧЕСКИЕ УСЛУГИ И ЛАБОРАТОРНЫЕ ИССЛЕДОВАНИЯ, ОКАЗЫВАЕМЫХ В АМБУЛАТОРНЫХ УСЛОВИЯХ В СВЯЗИ С ЗАБОЛЕВАНИЯМИ</t>
  </si>
  <si>
    <t>1.2. ДИСПАНСЕРНОЕ НАБЛЮДЕНИЕ</t>
  </si>
  <si>
    <t>1.1. ОБЪЁМЫ ПО ПРОФИЛАКТИЧЕСКИМ МЕРОПРИЯТИЯМ</t>
  </si>
  <si>
    <t>Таблица 5</t>
  </si>
  <si>
    <t>1) профилактические мероприятия (комплексные посещения), всего, в том числе:</t>
  </si>
  <si>
    <t xml:space="preserve">4. МОГБУЗ "ГОРОДСКАЯ ПОЛИКЛИНИКА" </t>
  </si>
  <si>
    <t>5. ООО "ВИТА"</t>
  </si>
  <si>
    <t>6. ООО "ВИТА-ДЕНТ"</t>
  </si>
  <si>
    <t>7. ООО "ДАНТИСТ"</t>
  </si>
  <si>
    <t>8. ООО "ДАНТИСТ-ПЛЮС"</t>
  </si>
  <si>
    <t>9. ООО "ДАНТИСТ XXI ВЕК"</t>
  </si>
  <si>
    <t>10. ООО ""СТОМАТОЛОГИЧЕСКИЙ КАБИНЕТ "ДОВЕРИЕ"</t>
  </si>
  <si>
    <t>11. ООО "МОЙ ДОКТОР"</t>
  </si>
  <si>
    <t>12.  ООО "МИР"</t>
  </si>
  <si>
    <t>13.  ООО "Приморский центр микрохирургии глаза"</t>
  </si>
  <si>
    <t>ИТОГО МОГБУЗ "Городская поликлиника", в т.ч.:</t>
  </si>
  <si>
    <t>центр дерматологии ГБУЗ  "МОБ"</t>
  </si>
  <si>
    <t>ООО "ВитаЛаб"</t>
  </si>
  <si>
    <t>5.7</t>
  </si>
  <si>
    <t>5.8</t>
  </si>
  <si>
    <t>5.9</t>
  </si>
  <si>
    <t>молекулярно-генетическое исследование мутаций в гене BRAF</t>
  </si>
  <si>
    <t>молекулярно-генетическое исследование мутаций в гене EGFR</t>
  </si>
  <si>
    <t>молекулярно-генетическое исследование мутаций в гене KRAS</t>
  </si>
  <si>
    <t>молекулярно-генетическое исследование мутаций в гене NRAS</t>
  </si>
  <si>
    <t>FISH HER2</t>
  </si>
  <si>
    <t>молекулярно-генетическое исследование мутаций в гене BRCA 1/BRCA 2</t>
  </si>
  <si>
    <t>выполненные с применением метода секвенирования нового поколения NGS BRCA 1/BRCA 2</t>
  </si>
  <si>
    <t>определение микросателлитной нестабильности MSI</t>
  </si>
  <si>
    <t>молекулярно-генетическое исследование гена ALK методом флюоресцентной гибридизации in situ (FISH)</t>
  </si>
  <si>
    <t>5.10</t>
  </si>
  <si>
    <t>5.11</t>
  </si>
  <si>
    <t>определение амплификации гена ERBB2 (HER2/Neu) методом флюоресцентной гибридизации in situ (FISH)</t>
  </si>
  <si>
    <t>Травматология-ортопедия</t>
  </si>
  <si>
    <t>Детская онкология</t>
  </si>
  <si>
    <t>Изменения на основании решений Комиссии по разработке ТПОМС</t>
  </si>
  <si>
    <t>ООО "Приморский центр микрохирургии глаза"</t>
  </si>
  <si>
    <t>22</t>
  </si>
  <si>
    <t>Объем финансового обеспечения на 2023 год                          (до изменений)</t>
  </si>
  <si>
    <t>Объем финансового обеспечения на 2023 год с учётом изменений</t>
  </si>
  <si>
    <t>Ультразвуковое исследование сердечно-сосудистой системы:</t>
  </si>
  <si>
    <t>Ультразвуковые исследования (прочие):</t>
  </si>
  <si>
    <t>Рентгенологические исследования:</t>
  </si>
  <si>
    <t>Молекулярно-генетическое исследование с целью выявления онкологических заболеваний:</t>
  </si>
  <si>
    <t>по факт. исполнению</t>
  </si>
  <si>
    <t xml:space="preserve">ООО "Центр инновационной эмбриологии и репродуктологии "ЭМБРИЛАЙФ" </t>
  </si>
  <si>
    <t>Эндоваскулярная, хирургическая коррекция нарушений ритма сердца без имплантации кардиовертера-дефибриллятора</t>
  </si>
  <si>
    <t>ООО "Виталаб"</t>
  </si>
  <si>
    <t>МОГБУЗ «ССМП», в том числе:</t>
  </si>
  <si>
    <t xml:space="preserve"> - с применением тромболизиса</t>
  </si>
  <si>
    <t xml:space="preserve">1. </t>
  </si>
  <si>
    <t>2.</t>
  </si>
  <si>
    <t>3.</t>
  </si>
  <si>
    <t>Акушер-гинеколог</t>
  </si>
  <si>
    <t>Аллерголог-иммунолог</t>
  </si>
  <si>
    <t>Гастроэнтеролог</t>
  </si>
  <si>
    <t>Гематолог</t>
  </si>
  <si>
    <t>Гериатр</t>
  </si>
  <si>
    <t>Дерматолог</t>
  </si>
  <si>
    <t>Инфекционист</t>
  </si>
  <si>
    <t>Кардиолог</t>
  </si>
  <si>
    <t>Колопроктолог</t>
  </si>
  <si>
    <t>Невролог</t>
  </si>
  <si>
    <t>Нейрохирург</t>
  </si>
  <si>
    <t>Нефролог</t>
  </si>
  <si>
    <t>Онколог</t>
  </si>
  <si>
    <t>Отоларинголог</t>
  </si>
  <si>
    <t>Офтальмолог</t>
  </si>
  <si>
    <t>Педиатр</t>
  </si>
  <si>
    <t>Пульмонолог</t>
  </si>
  <si>
    <t>Ревматолог</t>
  </si>
  <si>
    <t>Сосудистый хирург</t>
  </si>
  <si>
    <t>Терапевт-участковый</t>
  </si>
  <si>
    <t>Травматолог-ортопед</t>
  </si>
  <si>
    <t>Уролог</t>
  </si>
  <si>
    <t>Хирург</t>
  </si>
  <si>
    <t>Челюстно-лицевой хирург</t>
  </si>
  <si>
    <t>Эндокринолог</t>
  </si>
  <si>
    <t>Офтольмология</t>
  </si>
  <si>
    <t>Медицинскяа реабилитация</t>
  </si>
  <si>
    <t>Средний персонал</t>
  </si>
  <si>
    <t>ВСЕГО ПОСЕЩЕНИЙ:</t>
  </si>
  <si>
    <t>ТПГГ (норматив)</t>
  </si>
  <si>
    <t>позиций</t>
  </si>
  <si>
    <t>ТПОМС (общий норматив)</t>
  </si>
  <si>
    <t>ЛЕЧЕНИЕ ЗА ПРЕДЕЛАМИ</t>
  </si>
  <si>
    <t xml:space="preserve">НА ТЕРРИТОРИИ </t>
  </si>
  <si>
    <t>Диспансерное наблюдение (взрослые)</t>
  </si>
  <si>
    <t>посещений</t>
  </si>
  <si>
    <t xml:space="preserve">обращений </t>
  </si>
  <si>
    <t xml:space="preserve">ВСЕГО </t>
  </si>
  <si>
    <t>Инфекционные болезни</t>
  </si>
  <si>
    <t>посещений / комплексных посещений</t>
  </si>
  <si>
    <t>комплексных посещений</t>
  </si>
  <si>
    <t>ИТОГО ГБУЗ "МОДБ"</t>
  </si>
  <si>
    <t>ВСЕГО ГБУЗ "МОБ":</t>
  </si>
  <si>
    <t>Сердечно-сосудистая  хирургия</t>
  </si>
  <si>
    <t>Детская эндокринология, в том числе:</t>
  </si>
  <si>
    <t xml:space="preserve"> - Школа сахарного диабета (комплексные посещения)</t>
  </si>
  <si>
    <t>ДН</t>
  </si>
  <si>
    <t>лечение за пределами</t>
  </si>
  <si>
    <t>посещения в профмероприятиях/в мед реабилитации</t>
  </si>
  <si>
    <t>на территории без проф.мероприятий и реабилитации</t>
  </si>
  <si>
    <t xml:space="preserve">       в том числе, медицинская помощь в мобильном стоматологическом кабинете</t>
  </si>
  <si>
    <t xml:space="preserve">       в том числе, медицинская помощь специалистами мобильной бригады</t>
  </si>
  <si>
    <t xml:space="preserve">      в том числе, медицинская помощь в мобильном стоматологическом кабинете</t>
  </si>
  <si>
    <t>2) мобильные медицинские бригады</t>
  </si>
  <si>
    <t>Средний медицинский персонал, ведущий самостоятельный прием</t>
  </si>
  <si>
    <t>ФЗП</t>
  </si>
  <si>
    <t>ИТОГО ГБУЗ "МОЦОМиД"</t>
  </si>
  <si>
    <t>3. ГБУЗ "МАГАДАНСКИЙ ОБЛАСТНОЙ ЦЕНТР ОХРАНЫ МАТЕРИНСТВА И ДЕТСТВА"</t>
  </si>
  <si>
    <t>2. ГБУЗ "МАГАДАНСКАЯ ОБЛАСТНАЯ ДЕТСКАЯ  БОЛЬНИЦА" с 01.01.2023 по 06.07.2023 года</t>
  </si>
  <si>
    <t>3. ГБУЗ "Магаданский областной центр охраны материнства и детства"</t>
  </si>
  <si>
    <t>ГБУЗ "Магаданский областной центр охраны материнства  и детства"</t>
  </si>
  <si>
    <t>Средний медперсонал, ведущий самостоятельный прием (Лечебное дело)</t>
  </si>
  <si>
    <t>Средний медицинский персонал, ведущий самостоятельный приём (Акушерское дело)</t>
  </si>
  <si>
    <t>Офтальмология для обслуживания беременных женщин</t>
  </si>
  <si>
    <t>Терапия для обслуживания беременных женщин</t>
  </si>
  <si>
    <t>2. ГБУЗ "Магаданская областная детская больница"  с 01.01.2023 по 06.07.2023 года</t>
  </si>
  <si>
    <t>ГБУЗ "Магаданская областная детская больница" c 01.01.2023 по 06.07.2023 года</t>
  </si>
  <si>
    <t>ГБУЗ "Магаданский областной центр охраны материнства и детства"</t>
  </si>
  <si>
    <t xml:space="preserve">ГБУЗ "Магаданский областной центр охраны материнства и детства " </t>
  </si>
  <si>
    <t>23</t>
  </si>
  <si>
    <t>5</t>
  </si>
  <si>
    <t>ГБУЗ "Магаданский областной диспансер фтизиатрии и инфекционных заболеваний"</t>
  </si>
  <si>
    <t>8. ООО "ЕВА КЛИНИК"</t>
  </si>
  <si>
    <t>8. 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</si>
  <si>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>14. Объём медицинской помощи, предусмотренный на лечениеграждан застрахованных на территории Магаданской области в других субъектах Российской Федерации (МТР)</t>
  </si>
  <si>
    <t xml:space="preserve">               5. ООО "ДАНТИСТ XXI ВЕК"</t>
  </si>
  <si>
    <t>Хирургия (абдоминальная)</t>
  </si>
  <si>
    <t>3) Школа сахарного диабета (комплексные посещения)</t>
  </si>
  <si>
    <t>Определение РНК вируса гриппа A (Influenza virus A) в мазках со слизистой оболочки носоглотки методом ПЦР</t>
  </si>
  <si>
    <t>Определение РНК вируса гриппа B (Influenza virus B) в мазках со слизистой оболочки носоглотки методом ПЦР</t>
  </si>
  <si>
    <t>Определение РНК вируса гриппа C (Influenza virus C) в мазках со слизистой оболочки носоглотки методом ПЦР</t>
  </si>
  <si>
    <t>Определение РНК вируса гриппа A (Influenza virus A) в мазках со слизистой оболочки ротоглотки методом ПЦР</t>
  </si>
  <si>
    <t>Определение РНК вируса гриппа B (Influenza virus B) в мазках со слизистой оболочки ротоглотки методом ПЦР</t>
  </si>
  <si>
    <t>Определение РНК вируса гриппа C (Influenza virus C) в мазках со слизистой оболочки ротоглотки методом ПЦР</t>
  </si>
  <si>
    <t xml:space="preserve">Комплексная диагностика вирусов респираторных инфекций (ОРИ) </t>
  </si>
  <si>
    <t xml:space="preserve">Диагностика вирусов респираторных инфекций типирование гриппа А (Influenza virusA) </t>
  </si>
  <si>
    <t>Диагностика вирусов респираторных инфекций Определение РНК вируса гриппа A/H1N1 pdm09 (свиной грипп)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</si>
  <si>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</si>
  <si>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</si>
  <si>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</si>
  <si>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</si>
  <si>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</si>
  <si>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</si>
  <si>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</si>
  <si>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</si>
  <si>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</si>
  <si>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ООО "Эверест"</t>
  </si>
  <si>
    <t xml:space="preserve">СВОД </t>
  </si>
  <si>
    <t xml:space="preserve"> в том числе:</t>
  </si>
  <si>
    <t>ООО "ЭВЕРЕСТ"</t>
  </si>
  <si>
    <t>ТПОМС от 20.11.2023 года № 16-01</t>
  </si>
  <si>
    <t>14.  ООО "ЭВЕРЕСТ"</t>
  </si>
  <si>
    <t>врач-нефролог</t>
  </si>
  <si>
    <t>Наименование услуги</t>
  </si>
  <si>
    <t>Инфекционные болезни (для лечения пациентов с гепатитом С)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</si>
</sst>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* #,##0.0_);_(* \(#,##0.0\);_(* &quot;-&quot;??_);_(@_)"/>
    <numFmt numFmtId="197" formatCode="0.00000"/>
    <numFmt numFmtId="198" formatCode="0_ ;[Red]\-0\ "/>
    <numFmt numFmtId="199" formatCode="#,##0.000"/>
    <numFmt numFmtId="200" formatCode="#,##0.0000"/>
    <numFmt numFmtId="201" formatCode="#,##0_ ;[Red]\-#,##0\ "/>
    <numFmt numFmtId="202" formatCode="\M\o\n\t\h\ \D.\y\y\y\y"/>
    <numFmt numFmtId="203" formatCode="#,##0.0;[Red]\-#,##0.0;&quot;...&quot;"/>
    <numFmt numFmtId="204" formatCode="#,##0;[Red]\-#,##0;&quot;...&quot;"/>
    <numFmt numFmtId="205" formatCode="#,##0.00000"/>
    <numFmt numFmtId="206" formatCode="#,##0.000000"/>
    <numFmt numFmtId="207" formatCode="#,##0.0000000"/>
    <numFmt numFmtId="208" formatCode="0.0%"/>
    <numFmt numFmtId="209" formatCode="#,##0.00_ ;[Red]\-#,##0.00\ "/>
    <numFmt numFmtId="210" formatCode="0.0&quot;*&quot;"/>
    <numFmt numFmtId="211" formatCode="0.0&quot;**&quot;"/>
    <numFmt numFmtId="212" formatCode="0.0&quot;***&quot;"/>
    <numFmt numFmtId="213" formatCode="0.0&quot;*****&quot;"/>
    <numFmt numFmtId="214" formatCode="[$-FC19]d\ mmmm\ yyyy\ &quot;г.&quot;"/>
    <numFmt numFmtId="215" formatCode="0.00000000"/>
    <numFmt numFmtId="216" formatCode="0.0000000"/>
    <numFmt numFmtId="217" formatCode="0.000000"/>
  </numFmts>
  <fonts count="18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color indexed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60"/>
      <name val="Times New Roman"/>
      <family val="1"/>
    </font>
    <font>
      <b/>
      <i/>
      <sz val="12"/>
      <name val="Times New Roman"/>
      <family val="1"/>
    </font>
    <font>
      <sz val="10"/>
      <name val="Courier New Cyr"/>
      <family val="0"/>
    </font>
    <font>
      <sz val="8"/>
      <name val="Arial"/>
      <family val="2"/>
    </font>
    <font>
      <sz val="11"/>
      <color indexed="6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Calibri"/>
      <family val="2"/>
    </font>
    <font>
      <sz val="10"/>
      <color indexed="8"/>
      <name val="Arial Cyr"/>
      <family val="2"/>
    </font>
    <font>
      <sz val="10"/>
      <color indexed="22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22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b/>
      <i/>
      <sz val="12"/>
      <color indexed="6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i/>
      <sz val="11"/>
      <name val="Arial"/>
      <family val="2"/>
    </font>
    <font>
      <i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sz val="9"/>
      <color indexed="8"/>
      <name val="Calibri"/>
      <family val="2"/>
    </font>
    <font>
      <u val="single"/>
      <sz val="10"/>
      <color indexed="20"/>
      <name val="Arial"/>
      <family val="2"/>
    </font>
    <font>
      <i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60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60"/>
      <name val="Arial"/>
      <family val="2"/>
    </font>
    <font>
      <i/>
      <sz val="11"/>
      <color indexed="60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9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color indexed="12"/>
      <name val="Arial"/>
      <family val="2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b/>
      <sz val="11"/>
      <color indexed="6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12"/>
      <name val="Times New Roman"/>
      <family val="1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rgb="FF0000FF"/>
      <name val="Times New Roman"/>
      <family val="1"/>
    </font>
    <font>
      <i/>
      <sz val="11"/>
      <color rgb="FF0000FF"/>
      <name val="Times New Roman"/>
      <family val="1"/>
    </font>
    <font>
      <b/>
      <i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C0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C00000"/>
      <name val="Arial"/>
      <family val="2"/>
    </font>
    <font>
      <b/>
      <sz val="12"/>
      <color rgb="FF0000FF"/>
      <name val="Times New Roman"/>
      <family val="1"/>
    </font>
    <font>
      <i/>
      <sz val="11"/>
      <color rgb="FFC00000"/>
      <name val="Times New Roman"/>
      <family val="1"/>
    </font>
    <font>
      <sz val="9"/>
      <color rgb="FF0000FF"/>
      <name val="Times New Roman"/>
      <family val="1"/>
    </font>
    <font>
      <b/>
      <sz val="9"/>
      <color rgb="FF0000FF"/>
      <name val="Times New Roman"/>
      <family val="1"/>
    </font>
    <font>
      <i/>
      <sz val="10"/>
      <color rgb="FF0000FF"/>
      <name val="Times New Roman"/>
      <family val="1"/>
    </font>
    <font>
      <sz val="10"/>
      <color rgb="FF0000FF"/>
      <name val="Times New Roman"/>
      <family val="1"/>
    </font>
    <font>
      <sz val="12"/>
      <color rgb="FF0000FF"/>
      <name val="Times New Roman"/>
      <family val="1"/>
    </font>
    <font>
      <sz val="11"/>
      <color theme="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sz val="12"/>
      <color rgb="FF0000FF"/>
      <name val="Arial"/>
      <family val="2"/>
    </font>
    <font>
      <sz val="10"/>
      <color rgb="FFC00000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b/>
      <sz val="11"/>
      <color rgb="FFC0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b/>
      <sz val="13"/>
      <color rgb="FF0000FF"/>
      <name val="Times New Roman"/>
      <family val="1"/>
    </font>
    <font>
      <b/>
      <sz val="9"/>
      <color theme="1"/>
      <name val="Times New Roman"/>
      <family val="1"/>
    </font>
    <font>
      <b/>
      <sz val="8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30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3" borderId="0" applyNumberFormat="0" applyBorder="0" applyAlignment="0" applyProtection="0"/>
    <xf numFmtId="0" fontId="123" fillId="3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3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47" fillId="11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47" fillId="11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0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5" borderId="0" applyNumberFormat="0" applyBorder="0" applyAlignment="0" applyProtection="0"/>
    <xf numFmtId="0" fontId="123" fillId="5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5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47" fillId="9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47" fillId="9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6" borderId="0" applyNumberFormat="0" applyBorder="0" applyAlignment="0" applyProtection="0"/>
    <xf numFmtId="0" fontId="123" fillId="6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6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47" fillId="14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47" fillId="14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7" borderId="0" applyNumberFormat="0" applyBorder="0" applyAlignment="0" applyProtection="0"/>
    <xf numFmtId="0" fontId="123" fillId="7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7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47" fillId="11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47" fillId="11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47" fillId="8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47" fillId="8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47" fillId="9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47" fillId="9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23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47" fillId="22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47" fillId="22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47" fillId="20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47" fillId="20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5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1" borderId="0" applyNumberFormat="0" applyBorder="0" applyAlignment="0" applyProtection="0"/>
    <xf numFmtId="0" fontId="123" fillId="21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1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47" fillId="27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47" fillId="27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47" fillId="22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47" fillId="22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47" fillId="1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47" fillId="1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47" fillId="9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47" fillId="9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0" borderId="0" applyNumberFormat="0" applyBorder="0" applyAlignment="0" applyProtection="0"/>
    <xf numFmtId="0" fontId="38" fillId="18" borderId="0" applyNumberFormat="0" applyBorder="0" applyAlignment="0" applyProtection="0"/>
    <xf numFmtId="0" fontId="16" fillId="31" borderId="0" applyNumberFormat="0" applyBorder="0" applyAlignment="0" applyProtection="0"/>
    <xf numFmtId="0" fontId="38" fillId="4" borderId="0" applyNumberFormat="0" applyBorder="0" applyAlignment="0" applyProtection="0"/>
    <xf numFmtId="0" fontId="16" fillId="20" borderId="0" applyNumberFormat="0" applyBorder="0" applyAlignment="0" applyProtection="0"/>
    <xf numFmtId="0" fontId="38" fillId="4" borderId="0" applyNumberFormat="0" applyBorder="0" applyAlignment="0" applyProtection="0"/>
    <xf numFmtId="0" fontId="16" fillId="21" borderId="0" applyNumberFormat="0" applyBorder="0" applyAlignment="0" applyProtection="0"/>
    <xf numFmtId="0" fontId="38" fillId="22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9" borderId="0" applyNumberFormat="0" applyBorder="0" applyAlignment="0" applyProtection="0"/>
    <xf numFmtId="0" fontId="16" fillId="34" borderId="0" applyNumberFormat="0" applyBorder="0" applyAlignment="0" applyProtection="0"/>
    <xf numFmtId="0" fontId="124" fillId="35" borderId="0" applyNumberFormat="0" applyBorder="0" applyAlignment="0" applyProtection="0"/>
    <xf numFmtId="0" fontId="124" fillId="35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4" fillId="36" borderId="0" applyNumberFormat="0" applyBorder="0" applyAlignment="0" applyProtection="0"/>
    <xf numFmtId="0" fontId="124" fillId="3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24" fillId="37" borderId="0" applyNumberFormat="0" applyBorder="0" applyAlignment="0" applyProtection="0"/>
    <xf numFmtId="0" fontId="124" fillId="37" borderId="0" applyNumberFormat="0" applyBorder="0" applyAlignment="0" applyProtection="0"/>
    <xf numFmtId="0" fontId="124" fillId="37" borderId="0" applyNumberFormat="0" applyBorder="0" applyAlignment="0" applyProtection="0"/>
    <xf numFmtId="0" fontId="124" fillId="21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24" fillId="38" borderId="0" applyNumberFormat="0" applyBorder="0" applyAlignment="0" applyProtection="0"/>
    <xf numFmtId="0" fontId="124" fillId="38" borderId="0" applyNumberFormat="0" applyBorder="0" applyAlignment="0" applyProtection="0"/>
    <xf numFmtId="0" fontId="124" fillId="38" borderId="0" applyNumberFormat="0" applyBorder="0" applyAlignment="0" applyProtection="0"/>
    <xf numFmtId="0" fontId="124" fillId="3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24" fillId="39" borderId="0" applyNumberFormat="0" applyBorder="0" applyAlignment="0" applyProtection="0"/>
    <xf numFmtId="0" fontId="124" fillId="39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4" fillId="40" borderId="0" applyNumberFormat="0" applyBorder="0" applyAlignment="0" applyProtection="0"/>
    <xf numFmtId="0" fontId="124" fillId="40" borderId="0" applyNumberFormat="0" applyBorder="0" applyAlignment="0" applyProtection="0"/>
    <xf numFmtId="0" fontId="124" fillId="40" borderId="0" applyNumberFormat="0" applyBorder="0" applyAlignment="0" applyProtection="0"/>
    <xf numFmtId="0" fontId="124" fillId="3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38" fillId="18" borderId="0" applyNumberFormat="0" applyBorder="0" applyAlignment="0" applyProtection="0"/>
    <xf numFmtId="0" fontId="16" fillId="4" borderId="0" applyNumberFormat="0" applyBorder="0" applyAlignment="0" applyProtection="0"/>
    <xf numFmtId="0" fontId="38" fillId="41" borderId="0" applyNumberFormat="0" applyBorder="0" applyAlignment="0" applyProtection="0"/>
    <xf numFmtId="0" fontId="16" fillId="41" borderId="0" applyNumberFormat="0" applyBorder="0" applyAlignment="0" applyProtection="0"/>
    <xf numFmtId="0" fontId="38" fillId="42" borderId="0" applyNumberFormat="0" applyBorder="0" applyAlignment="0" applyProtection="0"/>
    <xf numFmtId="0" fontId="16" fillId="42" borderId="0" applyNumberFormat="0" applyBorder="0" applyAlignment="0" applyProtection="0"/>
    <xf numFmtId="0" fontId="38" fillId="43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44" borderId="0" applyNumberFormat="0" applyBorder="0" applyAlignment="0" applyProtection="0"/>
    <xf numFmtId="0" fontId="16" fillId="44" borderId="0" applyNumberFormat="0" applyBorder="0" applyAlignment="0" applyProtection="0"/>
    <xf numFmtId="0" fontId="27" fillId="5" borderId="0" applyNumberFormat="0" applyBorder="0" applyAlignment="0" applyProtection="0"/>
    <xf numFmtId="0" fontId="19" fillId="2" borderId="1" applyNumberFormat="0" applyAlignment="0" applyProtection="0"/>
    <xf numFmtId="0" fontId="19" fillId="22" borderId="1" applyNumberFormat="0" applyAlignment="0" applyProtection="0"/>
    <xf numFmtId="0" fontId="18" fillId="45" borderId="2" applyNumberFormat="0" applyAlignment="0" applyProtection="0"/>
    <xf numFmtId="0" fontId="24" fillId="45" borderId="3" applyNumberFormat="0" applyAlignment="0" applyProtection="0"/>
    <xf numFmtId="0" fontId="44" fillId="0" borderId="0">
      <alignment/>
      <protection locked="0"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44" fillId="0" borderId="0">
      <alignment/>
      <protection locked="0"/>
    </xf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202" fontId="44" fillId="0" borderId="0">
      <alignment/>
      <protection locked="0"/>
    </xf>
    <xf numFmtId="0" fontId="28" fillId="0" borderId="0" applyNumberFormat="0" applyFill="0" applyBorder="0" applyAlignment="0" applyProtection="0"/>
    <xf numFmtId="0" fontId="44" fillId="0" borderId="0">
      <alignment/>
      <protection locked="0"/>
    </xf>
    <xf numFmtId="0" fontId="31" fillId="6" borderId="0" applyNumberFormat="0" applyBorder="0" applyAlignment="0" applyProtection="0"/>
    <xf numFmtId="0" fontId="39" fillId="0" borderId="4" applyNumberFormat="0" applyFill="0" applyAlignment="0" applyProtection="0"/>
    <xf numFmtId="0" fontId="20" fillId="0" borderId="5" applyNumberFormat="0" applyFill="0" applyAlignment="0" applyProtection="0"/>
    <xf numFmtId="0" fontId="40" fillId="0" borderId="4" applyNumberFormat="0" applyFill="0" applyAlignment="0" applyProtection="0"/>
    <xf numFmtId="0" fontId="21" fillId="0" borderId="6" applyNumberFormat="0" applyFill="0" applyAlignment="0" applyProtection="0"/>
    <xf numFmtId="0" fontId="41" fillId="0" borderId="7" applyNumberFormat="0" applyFill="0" applyAlignment="0" applyProtection="0"/>
    <xf numFmtId="0" fontId="22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0" fontId="36" fillId="0" borderId="0">
      <alignment/>
      <protection/>
    </xf>
    <xf numFmtId="0" fontId="42" fillId="9" borderId="1" applyNumberFormat="0" applyAlignment="0" applyProtection="0"/>
    <xf numFmtId="0" fontId="17" fillId="9" borderId="1" applyNumberFormat="0" applyAlignment="0" applyProtection="0"/>
    <xf numFmtId="0" fontId="29" fillId="0" borderId="9" applyNumberFormat="0" applyFill="0" applyAlignment="0" applyProtection="0"/>
    <xf numFmtId="0" fontId="26" fillId="27" borderId="0" applyNumberFormat="0" applyBorder="0" applyAlignment="0" applyProtection="0"/>
    <xf numFmtId="0" fontId="8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8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4" borderId="10" applyNumberFormat="0" applyFont="0" applyAlignment="0" applyProtection="0"/>
    <xf numFmtId="0" fontId="8" fillId="14" borderId="10" applyNumberFormat="0" applyFont="0" applyAlignment="0" applyProtection="0"/>
    <xf numFmtId="0" fontId="24" fillId="2" borderId="11" applyNumberFormat="0" applyAlignment="0" applyProtection="0"/>
    <xf numFmtId="0" fontId="18" fillId="22" borderId="12" applyNumberFormat="0" applyAlignment="0" applyProtection="0"/>
    <xf numFmtId="0" fontId="4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44" fillId="0" borderId="14">
      <alignment/>
      <protection locked="0"/>
    </xf>
    <xf numFmtId="0" fontId="23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124" fillId="46" borderId="0" applyNumberFormat="0" applyBorder="0" applyAlignment="0" applyProtection="0"/>
    <xf numFmtId="0" fontId="124" fillId="46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4" fillId="47" borderId="0" applyNumberFormat="0" applyBorder="0" applyAlignment="0" applyProtection="0"/>
    <xf numFmtId="0" fontId="124" fillId="47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124" fillId="48" borderId="0" applyNumberFormat="0" applyBorder="0" applyAlignment="0" applyProtection="0"/>
    <xf numFmtId="0" fontId="124" fillId="48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124" fillId="49" borderId="0" applyNumberFormat="0" applyBorder="0" applyAlignment="0" applyProtection="0"/>
    <xf numFmtId="0" fontId="124" fillId="49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24" fillId="50" borderId="0" applyNumberFormat="0" applyBorder="0" applyAlignment="0" applyProtection="0"/>
    <xf numFmtId="0" fontId="124" fillId="50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4" fillId="51" borderId="0" applyNumberFormat="0" applyBorder="0" applyAlignment="0" applyProtection="0"/>
    <xf numFmtId="0" fontId="124" fillId="51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25" fillId="52" borderId="16" applyNumberFormat="0" applyAlignment="0" applyProtection="0"/>
    <xf numFmtId="0" fontId="125" fillId="52" borderId="16" applyNumberFormat="0" applyAlignment="0" applyProtection="0"/>
    <xf numFmtId="0" fontId="49" fillId="9" borderId="1" applyNumberFormat="0" applyAlignment="0" applyProtection="0"/>
    <xf numFmtId="0" fontId="49" fillId="9" borderId="1" applyNumberFormat="0" applyAlignment="0" applyProtection="0"/>
    <xf numFmtId="0" fontId="126" fillId="53" borderId="17" applyNumberFormat="0" applyAlignment="0" applyProtection="0"/>
    <xf numFmtId="0" fontId="126" fillId="53" borderId="17" applyNumberFormat="0" applyAlignment="0" applyProtection="0"/>
    <xf numFmtId="0" fontId="50" fillId="11" borderId="12" applyNumberFormat="0" applyAlignment="0" applyProtection="0"/>
    <xf numFmtId="0" fontId="50" fillId="11" borderId="12" applyNumberFormat="0" applyAlignment="0" applyProtection="0"/>
    <xf numFmtId="0" fontId="127" fillId="53" borderId="16" applyNumberFormat="0" applyAlignment="0" applyProtection="0"/>
    <xf numFmtId="0" fontId="127" fillId="53" borderId="16" applyNumberFormat="0" applyAlignment="0" applyProtection="0"/>
    <xf numFmtId="0" fontId="51" fillId="11" borderId="1" applyNumberFormat="0" applyAlignment="0" applyProtection="0"/>
    <xf numFmtId="0" fontId="51" fillId="11" borderId="1" applyNumberFormat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64" fillId="0" borderId="0">
      <alignment horizontal="center" vertical="top" wrapText="1"/>
      <protection/>
    </xf>
    <xf numFmtId="0" fontId="129" fillId="0" borderId="18" applyNumberFormat="0" applyFill="0" applyAlignment="0" applyProtection="0"/>
    <xf numFmtId="0" fontId="129" fillId="0" borderId="18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130" fillId="0" borderId="20" applyNumberFormat="0" applyFill="0" applyAlignment="0" applyProtection="0"/>
    <xf numFmtId="0" fontId="130" fillId="0" borderId="20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131" fillId="0" borderId="21" applyNumberFormat="0" applyFill="0" applyAlignment="0" applyProtection="0"/>
    <xf numFmtId="0" fontId="131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2" fillId="0" borderId="23" applyNumberFormat="0" applyFill="0" applyAlignment="0" applyProtection="0"/>
    <xf numFmtId="0" fontId="132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133" fillId="54" borderId="25" applyNumberFormat="0" applyAlignment="0" applyProtection="0"/>
    <xf numFmtId="0" fontId="133" fillId="54" borderId="25" applyNumberFormat="0" applyAlignment="0" applyProtection="0"/>
    <xf numFmtId="0" fontId="56" fillId="45" borderId="3" applyNumberFormat="0" applyAlignment="0" applyProtection="0"/>
    <xf numFmtId="0" fontId="56" fillId="45" borderId="3" applyNumberFormat="0" applyAlignment="0" applyProtection="0"/>
    <xf numFmtId="203" fontId="65" fillId="0" borderId="0" applyFont="0">
      <alignment vertical="top"/>
      <protection/>
    </xf>
    <xf numFmtId="203" fontId="66" fillId="0" borderId="0" applyFont="0">
      <alignment vertical="top"/>
      <protection/>
    </xf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5" fillId="55" borderId="0" applyNumberFormat="0" applyBorder="0" applyAlignment="0" applyProtection="0"/>
    <xf numFmtId="0" fontId="135" fillId="55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123" fillId="0" borderId="0">
      <alignment/>
      <protection/>
    </xf>
    <xf numFmtId="0" fontId="8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0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8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8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0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8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3" fillId="0" borderId="0">
      <alignment/>
      <protection/>
    </xf>
    <xf numFmtId="0" fontId="0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8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8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0" fillId="0" borderId="0">
      <alignment/>
      <protection/>
    </xf>
    <xf numFmtId="0" fontId="123" fillId="0" borderId="0">
      <alignment/>
      <protection/>
    </xf>
    <xf numFmtId="0" fontId="37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8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37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0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0" fillId="0" borderId="0">
      <alignment/>
      <protection/>
    </xf>
    <xf numFmtId="0" fontId="123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36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0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0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8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46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3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23" fillId="0" borderId="0">
      <alignment/>
      <protection/>
    </xf>
    <xf numFmtId="0" fontId="8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23" fillId="0" borderId="0">
      <alignment/>
      <protection/>
    </xf>
    <xf numFmtId="0" fontId="0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37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5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8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46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8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8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23" fillId="0" borderId="0">
      <alignment/>
      <protection/>
    </xf>
    <xf numFmtId="0" fontId="138" fillId="0" borderId="0" applyNumberFormat="0" applyFill="0" applyBorder="0" applyAlignment="0" applyProtection="0"/>
    <xf numFmtId="0" fontId="139" fillId="56" borderId="0" applyNumberFormat="0" applyBorder="0" applyAlignment="0" applyProtection="0"/>
    <xf numFmtId="0" fontId="139" fillId="56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3" fontId="65" fillId="0" borderId="0" applyFont="0">
      <alignment vertical="top"/>
      <protection/>
    </xf>
    <xf numFmtId="0" fontId="141" fillId="0" borderId="27" applyNumberFormat="0" applyFill="0" applyAlignment="0" applyProtection="0"/>
    <xf numFmtId="0" fontId="141" fillId="0" borderId="27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04" fontId="65" fillId="0" borderId="0" applyFont="0">
      <alignment vertical="top"/>
      <protection/>
    </xf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43" fillId="58" borderId="0" applyNumberFormat="0" applyBorder="0" applyAlignment="0" applyProtection="0"/>
    <xf numFmtId="0" fontId="143" fillId="58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</cellStyleXfs>
  <cellXfs count="790">
    <xf numFmtId="0" fontId="0" fillId="0" borderId="0" xfId="0" applyAlignment="1">
      <alignment/>
    </xf>
    <xf numFmtId="0" fontId="2" fillId="11" borderId="28" xfId="0" applyFont="1" applyFill="1" applyBorder="1" applyAlignment="1">
      <alignment horizontal="center" vertical="center" wrapText="1"/>
    </xf>
    <xf numFmtId="0" fontId="2" fillId="11" borderId="28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29" xfId="0" applyFont="1" applyBorder="1" applyAlignment="1">
      <alignment vertical="center" wrapText="1"/>
    </xf>
    <xf numFmtId="0" fontId="2" fillId="11" borderId="29" xfId="0" applyFont="1" applyFill="1" applyBorder="1" applyAlignment="1">
      <alignment horizontal="center" vertical="center" wrapText="1"/>
    </xf>
    <xf numFmtId="0" fontId="2" fillId="11" borderId="29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2" fillId="11" borderId="30" xfId="0" applyFont="1" applyFill="1" applyBorder="1" applyAlignment="1">
      <alignment horizontal="center" vertical="center" wrapText="1"/>
    </xf>
    <xf numFmtId="0" fontId="2" fillId="11" borderId="31" xfId="0" applyFont="1" applyFill="1" applyBorder="1" applyAlignment="1">
      <alignment vertical="center" wrapText="1"/>
    </xf>
    <xf numFmtId="0" fontId="2" fillId="11" borderId="32" xfId="0" applyFont="1" applyFill="1" applyBorder="1" applyAlignment="1">
      <alignment horizontal="center" vertical="center" wrapText="1"/>
    </xf>
    <xf numFmtId="0" fontId="2" fillId="11" borderId="33" xfId="0" applyFont="1" applyFill="1" applyBorder="1" applyAlignment="1">
      <alignment vertical="center" wrapText="1"/>
    </xf>
    <xf numFmtId="0" fontId="2" fillId="11" borderId="34" xfId="0" applyFont="1" applyFill="1" applyBorder="1" applyAlignment="1">
      <alignment vertical="center" wrapText="1"/>
    </xf>
    <xf numFmtId="0" fontId="2" fillId="11" borderId="35" xfId="0" applyFont="1" applyFill="1" applyBorder="1" applyAlignment="1">
      <alignment vertical="center" wrapText="1"/>
    </xf>
    <xf numFmtId="0" fontId="2" fillId="11" borderId="36" xfId="0" applyFont="1" applyFill="1" applyBorder="1" applyAlignment="1">
      <alignment horizontal="center" vertical="center" wrapText="1"/>
    </xf>
    <xf numFmtId="0" fontId="2" fillId="11" borderId="37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vertical="center" wrapText="1"/>
    </xf>
    <xf numFmtId="0" fontId="33" fillId="11" borderId="39" xfId="0" applyFont="1" applyFill="1" applyBorder="1" applyAlignment="1">
      <alignment horizontal="center" vertical="center" wrapText="1"/>
    </xf>
    <xf numFmtId="0" fontId="2" fillId="11" borderId="40" xfId="0" applyFont="1" applyFill="1" applyBorder="1" applyAlignment="1">
      <alignment horizontal="center" vertical="center" wrapText="1"/>
    </xf>
    <xf numFmtId="0" fontId="2" fillId="11" borderId="41" xfId="0" applyFont="1" applyFill="1" applyBorder="1" applyAlignment="1">
      <alignment vertical="center" wrapText="1"/>
    </xf>
    <xf numFmtId="0" fontId="2" fillId="11" borderId="42" xfId="0" applyFont="1" applyFill="1" applyBorder="1" applyAlignment="1">
      <alignment vertical="center" wrapText="1"/>
    </xf>
    <xf numFmtId="0" fontId="3" fillId="11" borderId="43" xfId="0" applyFont="1" applyFill="1" applyBorder="1" applyAlignment="1">
      <alignment horizontal="center" vertical="center" wrapText="1"/>
    </xf>
    <xf numFmtId="0" fontId="3" fillId="11" borderId="44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horizontal="center" vertical="center" wrapText="1"/>
    </xf>
    <xf numFmtId="0" fontId="2" fillId="11" borderId="46" xfId="0" applyFont="1" applyFill="1" applyBorder="1" applyAlignment="1">
      <alignment vertical="center" wrapText="1"/>
    </xf>
    <xf numFmtId="0" fontId="3" fillId="11" borderId="44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horizontal="center" vertical="center" wrapText="1"/>
    </xf>
    <xf numFmtId="0" fontId="2" fillId="11" borderId="48" xfId="0" applyFont="1" applyFill="1" applyBorder="1" applyAlignment="1">
      <alignment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2" fillId="11" borderId="49" xfId="0" applyFont="1" applyFill="1" applyBorder="1" applyAlignment="1">
      <alignment horizontal="center" vertical="center" wrapText="1"/>
    </xf>
    <xf numFmtId="0" fontId="2" fillId="11" borderId="50" xfId="0" applyFont="1" applyFill="1" applyBorder="1" applyAlignment="1">
      <alignment vertical="center" wrapText="1"/>
    </xf>
    <xf numFmtId="0" fontId="2" fillId="11" borderId="51" xfId="0" applyFont="1" applyFill="1" applyBorder="1" applyAlignment="1">
      <alignment horizontal="center" vertical="center" wrapText="1"/>
    </xf>
    <xf numFmtId="0" fontId="3" fillId="11" borderId="39" xfId="0" applyFont="1" applyFill="1" applyBorder="1" applyAlignment="1">
      <alignment horizontal="center" vertical="center" wrapText="1"/>
    </xf>
    <xf numFmtId="0" fontId="3" fillId="11" borderId="52" xfId="0" applyFont="1" applyFill="1" applyBorder="1" applyAlignment="1">
      <alignment vertical="center" wrapText="1"/>
    </xf>
    <xf numFmtId="0" fontId="2" fillId="11" borderId="39" xfId="0" applyFont="1" applyFill="1" applyBorder="1" applyAlignment="1">
      <alignment horizontal="center" vertical="center" wrapText="1"/>
    </xf>
    <xf numFmtId="0" fontId="2" fillId="11" borderId="52" xfId="0" applyFont="1" applyFill="1" applyBorder="1" applyAlignment="1">
      <alignment vertical="center" wrapText="1"/>
    </xf>
    <xf numFmtId="0" fontId="2" fillId="11" borderId="53" xfId="0" applyFont="1" applyFill="1" applyBorder="1" applyAlignment="1">
      <alignment vertical="center" wrapText="1"/>
    </xf>
    <xf numFmtId="0" fontId="2" fillId="11" borderId="54" xfId="0" applyFont="1" applyFill="1" applyBorder="1" applyAlignment="1">
      <alignment horizontal="center" vertical="center" wrapText="1"/>
    </xf>
    <xf numFmtId="0" fontId="2" fillId="11" borderId="55" xfId="0" applyFont="1" applyFill="1" applyBorder="1" applyAlignment="1">
      <alignment vertical="center" wrapText="1"/>
    </xf>
    <xf numFmtId="0" fontId="2" fillId="11" borderId="56" xfId="0" applyFont="1" applyFill="1" applyBorder="1" applyAlignment="1">
      <alignment vertical="center" wrapText="1"/>
    </xf>
    <xf numFmtId="0" fontId="3" fillId="11" borderId="57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vertical="center" wrapText="1"/>
    </xf>
    <xf numFmtId="0" fontId="2" fillId="11" borderId="49" xfId="0" applyFont="1" applyFill="1" applyBorder="1" applyAlignment="1">
      <alignment vertical="center" wrapText="1"/>
    </xf>
    <xf numFmtId="0" fontId="11" fillId="11" borderId="49" xfId="0" applyFont="1" applyFill="1" applyBorder="1" applyAlignment="1">
      <alignment horizontal="center" vertical="center" wrapText="1"/>
    </xf>
    <xf numFmtId="0" fontId="2" fillId="11" borderId="51" xfId="0" applyFont="1" applyFill="1" applyBorder="1" applyAlignment="1">
      <alignment vertical="center" wrapText="1"/>
    </xf>
    <xf numFmtId="0" fontId="3" fillId="11" borderId="39" xfId="0" applyFont="1" applyFill="1" applyBorder="1" applyAlignment="1">
      <alignment vertical="center" wrapText="1"/>
    </xf>
    <xf numFmtId="0" fontId="3" fillId="11" borderId="49" xfId="0" applyFont="1" applyFill="1" applyBorder="1" applyAlignment="1">
      <alignment horizontal="center" vertical="center" wrapText="1"/>
    </xf>
    <xf numFmtId="0" fontId="3" fillId="11" borderId="54" xfId="0" applyFont="1" applyFill="1" applyBorder="1" applyAlignment="1">
      <alignment horizontal="center" vertical="center" wrapText="1"/>
    </xf>
    <xf numFmtId="0" fontId="2" fillId="11" borderId="54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vertical="center" wrapText="1"/>
    </xf>
    <xf numFmtId="0" fontId="11" fillId="11" borderId="46" xfId="0" applyFont="1" applyFill="1" applyBorder="1" applyAlignment="1">
      <alignment vertical="center" wrapText="1"/>
    </xf>
    <xf numFmtId="0" fontId="12" fillId="11" borderId="32" xfId="0" applyFont="1" applyFill="1" applyBorder="1" applyAlignment="1">
      <alignment horizontal="center" vertical="center" wrapText="1"/>
    </xf>
    <xf numFmtId="0" fontId="2" fillId="11" borderId="58" xfId="0" applyFont="1" applyFill="1" applyBorder="1" applyAlignment="1">
      <alignment horizontal="center" vertical="center" wrapText="1"/>
    </xf>
    <xf numFmtId="0" fontId="2" fillId="11" borderId="59" xfId="0" applyFont="1" applyFill="1" applyBorder="1" applyAlignment="1">
      <alignment vertical="center" wrapText="1"/>
    </xf>
    <xf numFmtId="0" fontId="3" fillId="11" borderId="51" xfId="0" applyFont="1" applyFill="1" applyBorder="1" applyAlignment="1">
      <alignment horizontal="left" vertical="center" wrapText="1"/>
    </xf>
    <xf numFmtId="0" fontId="2" fillId="11" borderId="60" xfId="0" applyFont="1" applyFill="1" applyBorder="1" applyAlignment="1">
      <alignment horizontal="center" vertical="center" wrapText="1"/>
    </xf>
    <xf numFmtId="0" fontId="33" fillId="11" borderId="49" xfId="0" applyFont="1" applyFill="1" applyBorder="1" applyAlignment="1">
      <alignment vertical="center" wrapText="1"/>
    </xf>
    <xf numFmtId="0" fontId="34" fillId="11" borderId="0" xfId="0" applyFont="1" applyFill="1" applyBorder="1" applyAlignment="1">
      <alignment horizontal="center" vertical="center" wrapText="1"/>
    </xf>
    <xf numFmtId="0" fontId="33" fillId="11" borderId="0" xfId="0" applyFont="1" applyFill="1" applyBorder="1" applyAlignment="1">
      <alignment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11" fillId="11" borderId="32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49" fontId="67" fillId="0" borderId="29" xfId="1507" applyNumberFormat="1" applyFont="1" applyFill="1" applyBorder="1" applyAlignment="1">
      <alignment horizontal="center" vertical="center" wrapText="1"/>
      <protection/>
    </xf>
    <xf numFmtId="49" fontId="71" fillId="0" borderId="29" xfId="1507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3" fontId="35" fillId="0" borderId="29" xfId="1507" applyNumberFormat="1" applyFont="1" applyFill="1" applyBorder="1" applyAlignment="1">
      <alignment vertical="center" wrapText="1"/>
      <protection/>
    </xf>
    <xf numFmtId="49" fontId="11" fillId="0" borderId="29" xfId="1507" applyNumberFormat="1" applyFont="1" applyFill="1" applyBorder="1" applyAlignment="1">
      <alignment horizontal="center" vertical="center" wrapText="1"/>
      <protection/>
    </xf>
    <xf numFmtId="3" fontId="11" fillId="0" borderId="29" xfId="1507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0" fontId="69" fillId="0" borderId="29" xfId="1507" applyFont="1" applyFill="1" applyBorder="1" applyAlignment="1">
      <alignment vertical="center" wrapText="1"/>
      <protection/>
    </xf>
    <xf numFmtId="0" fontId="12" fillId="0" borderId="29" xfId="1507" applyFont="1" applyFill="1" applyBorder="1" applyAlignment="1">
      <alignment vertical="center" wrapText="1"/>
      <protection/>
    </xf>
    <xf numFmtId="0" fontId="5" fillId="0" borderId="29" xfId="1507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17" borderId="29" xfId="0" applyFont="1" applyFill="1" applyBorder="1" applyAlignment="1">
      <alignment horizontal="center" vertical="center" wrapText="1"/>
    </xf>
    <xf numFmtId="3" fontId="3" fillId="11" borderId="61" xfId="0" applyNumberFormat="1" applyFont="1" applyFill="1" applyBorder="1" applyAlignment="1">
      <alignment horizontal="center" vertical="center" wrapText="1"/>
    </xf>
    <xf numFmtId="0" fontId="10" fillId="17" borderId="62" xfId="0" applyFont="1" applyFill="1" applyBorder="1" applyAlignment="1">
      <alignment vertical="center" wrapText="1"/>
    </xf>
    <xf numFmtId="3" fontId="4" fillId="17" borderId="62" xfId="0" applyNumberFormat="1" applyFont="1" applyFill="1" applyBorder="1" applyAlignment="1">
      <alignment vertical="center" wrapText="1"/>
    </xf>
    <xf numFmtId="0" fontId="2" fillId="11" borderId="63" xfId="0" applyFont="1" applyFill="1" applyBorder="1" applyAlignment="1">
      <alignment vertical="center" wrapText="1"/>
    </xf>
    <xf numFmtId="0" fontId="11" fillId="11" borderId="33" xfId="0" applyFont="1" applyFill="1" applyBorder="1" applyAlignment="1">
      <alignment vertical="center" wrapText="1"/>
    </xf>
    <xf numFmtId="0" fontId="70" fillId="17" borderId="29" xfId="1507" applyFont="1" applyFill="1" applyBorder="1" applyAlignment="1">
      <alignment horizontal="center" vertical="center" wrapText="1"/>
      <protection/>
    </xf>
    <xf numFmtId="3" fontId="35" fillId="17" borderId="29" xfId="1507" applyNumberFormat="1" applyFont="1" applyFill="1" applyBorder="1" applyAlignment="1">
      <alignment vertical="center" wrapText="1"/>
      <protection/>
    </xf>
    <xf numFmtId="0" fontId="2" fillId="17" borderId="29" xfId="0" applyFont="1" applyFill="1" applyBorder="1" applyAlignment="1">
      <alignment vertical="center" wrapText="1"/>
    </xf>
    <xf numFmtId="0" fontId="3" fillId="17" borderId="29" xfId="0" applyFont="1" applyFill="1" applyBorder="1" applyAlignment="1">
      <alignment vertical="center" wrapText="1"/>
    </xf>
    <xf numFmtId="0" fontId="67" fillId="17" borderId="29" xfId="1507" applyFont="1" applyFill="1" applyBorder="1" applyAlignment="1">
      <alignment horizontal="center" vertical="center" wrapText="1"/>
      <protection/>
    </xf>
    <xf numFmtId="3" fontId="3" fillId="17" borderId="29" xfId="0" applyNumberFormat="1" applyFont="1" applyFill="1" applyBorder="1" applyAlignment="1">
      <alignment vertical="center" wrapText="1"/>
    </xf>
    <xf numFmtId="0" fontId="1" fillId="17" borderId="29" xfId="0" applyFont="1" applyFill="1" applyBorder="1" applyAlignment="1">
      <alignment vertical="center" wrapText="1"/>
    </xf>
    <xf numFmtId="0" fontId="10" fillId="17" borderId="29" xfId="0" applyFont="1" applyFill="1" applyBorder="1" applyAlignment="1">
      <alignment horizontal="center" vertical="center" wrapText="1"/>
    </xf>
    <xf numFmtId="0" fontId="1" fillId="17" borderId="29" xfId="855" applyFont="1" applyFill="1" applyBorder="1" applyAlignment="1" applyProtection="1">
      <alignment horizontal="center" vertical="center" wrapText="1"/>
      <protection/>
    </xf>
    <xf numFmtId="0" fontId="3" fillId="17" borderId="29" xfId="1507" applyFont="1" applyFill="1" applyBorder="1" applyAlignment="1">
      <alignment horizontal="center" vertical="center" wrapText="1"/>
      <protection/>
    </xf>
    <xf numFmtId="0" fontId="144" fillId="0" borderId="31" xfId="1507" applyFont="1" applyBorder="1" applyAlignment="1">
      <alignment horizontal="center" vertical="center" wrapText="1"/>
      <protection/>
    </xf>
    <xf numFmtId="0" fontId="144" fillId="0" borderId="29" xfId="1507" applyFont="1" applyBorder="1" applyAlignment="1">
      <alignment vertical="center" wrapText="1"/>
      <protection/>
    </xf>
    <xf numFmtId="0" fontId="144" fillId="17" borderId="31" xfId="1507" applyFont="1" applyFill="1" applyBorder="1" applyAlignment="1">
      <alignment horizontal="center" vertical="center" wrapText="1"/>
      <protection/>
    </xf>
    <xf numFmtId="0" fontId="144" fillId="17" borderId="29" xfId="1507" applyFont="1" applyFill="1" applyBorder="1" applyAlignment="1">
      <alignment vertical="center" wrapText="1"/>
      <protection/>
    </xf>
    <xf numFmtId="3" fontId="1" fillId="0" borderId="0" xfId="0" applyNumberFormat="1" applyFont="1" applyAlignment="1">
      <alignment vertical="center" wrapText="1"/>
    </xf>
    <xf numFmtId="16" fontId="67" fillId="59" borderId="29" xfId="1507" applyNumberFormat="1" applyFont="1" applyFill="1" applyBorder="1" applyAlignment="1">
      <alignment horizontal="center" vertical="center" wrapText="1"/>
      <protection/>
    </xf>
    <xf numFmtId="0" fontId="7" fillId="59" borderId="29" xfId="1507" applyFont="1" applyFill="1" applyBorder="1" applyAlignment="1">
      <alignment vertical="center" wrapText="1"/>
      <protection/>
    </xf>
    <xf numFmtId="0" fontId="3" fillId="59" borderId="29" xfId="0" applyFont="1" applyFill="1" applyBorder="1" applyAlignment="1">
      <alignment vertical="center" wrapText="1"/>
    </xf>
    <xf numFmtId="0" fontId="2" fillId="59" borderId="29" xfId="0" applyFont="1" applyFill="1" applyBorder="1" applyAlignment="1">
      <alignment vertical="center" wrapText="1"/>
    </xf>
    <xf numFmtId="0" fontId="1" fillId="59" borderId="0" xfId="0" applyFont="1" applyFill="1" applyAlignment="1">
      <alignment vertical="center" wrapText="1"/>
    </xf>
    <xf numFmtId="0" fontId="144" fillId="0" borderId="31" xfId="1507" applyFont="1" applyBorder="1" applyAlignment="1">
      <alignment horizontal="left" vertical="center" wrapText="1"/>
      <protection/>
    </xf>
    <xf numFmtId="0" fontId="3" fillId="11" borderId="29" xfId="0" applyFont="1" applyFill="1" applyBorder="1" applyAlignment="1">
      <alignment horizontal="center" vertical="center" wrapText="1"/>
    </xf>
    <xf numFmtId="0" fontId="10" fillId="17" borderId="63" xfId="0" applyFont="1" applyFill="1" applyBorder="1" applyAlignment="1">
      <alignment horizontal="center" vertical="center" wrapText="1"/>
    </xf>
    <xf numFmtId="0" fontId="10" fillId="17" borderId="29" xfId="0" applyFont="1" applyFill="1" applyBorder="1" applyAlignment="1">
      <alignment horizontal="center" vertical="center" wrapText="1"/>
    </xf>
    <xf numFmtId="0" fontId="3" fillId="17" borderId="64" xfId="0" applyFont="1" applyFill="1" applyBorder="1" applyAlignment="1">
      <alignment horizontal="center" vertical="center" wrapText="1"/>
    </xf>
    <xf numFmtId="0" fontId="10" fillId="17" borderId="65" xfId="0" applyFont="1" applyFill="1" applyBorder="1" applyAlignment="1">
      <alignment horizontal="center" vertical="center" wrapText="1"/>
    </xf>
    <xf numFmtId="0" fontId="33" fillId="11" borderId="60" xfId="0" applyFont="1" applyFill="1" applyBorder="1" applyAlignment="1">
      <alignment vertical="center" wrapText="1"/>
    </xf>
    <xf numFmtId="0" fontId="3" fillId="17" borderId="66" xfId="0" applyFont="1" applyFill="1" applyBorder="1" applyAlignment="1">
      <alignment horizontal="center" vertical="center" wrapText="1"/>
    </xf>
    <xf numFmtId="0" fontId="3" fillId="17" borderId="28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/>
    </xf>
    <xf numFmtId="0" fontId="3" fillId="59" borderId="0" xfId="0" applyFont="1" applyFill="1" applyAlignment="1">
      <alignment horizontal="center" vertical="center" wrapText="1"/>
    </xf>
    <xf numFmtId="0" fontId="73" fillId="59" borderId="0" xfId="0" applyFont="1" applyFill="1" applyAlignment="1">
      <alignment/>
    </xf>
    <xf numFmtId="1" fontId="2" fillId="11" borderId="30" xfId="0" applyNumberFormat="1" applyFont="1" applyFill="1" applyBorder="1" applyAlignment="1">
      <alignment horizontal="center" vertical="center" wrapText="1"/>
    </xf>
    <xf numFmtId="1" fontId="2" fillId="11" borderId="32" xfId="0" applyNumberFormat="1" applyFont="1" applyFill="1" applyBorder="1" applyAlignment="1">
      <alignment horizontal="center" vertical="center" wrapText="1"/>
    </xf>
    <xf numFmtId="1" fontId="73" fillId="11" borderId="0" xfId="0" applyNumberFormat="1" applyFont="1" applyFill="1" applyAlignment="1">
      <alignment/>
    </xf>
    <xf numFmtId="3" fontId="3" fillId="11" borderId="40" xfId="0" applyNumberFormat="1" applyFont="1" applyFill="1" applyBorder="1" applyAlignment="1">
      <alignment horizontal="center" vertical="center" wrapText="1"/>
    </xf>
    <xf numFmtId="3" fontId="73" fillId="11" borderId="0" xfId="0" applyNumberFormat="1" applyFont="1" applyFill="1" applyAlignment="1">
      <alignment/>
    </xf>
    <xf numFmtId="3" fontId="73" fillId="11" borderId="0" xfId="0" applyNumberFormat="1" applyFont="1" applyFill="1" applyBorder="1" applyAlignment="1">
      <alignment/>
    </xf>
    <xf numFmtId="0" fontId="73" fillId="11" borderId="0" xfId="0" applyFont="1" applyFill="1" applyBorder="1" applyAlignment="1">
      <alignment/>
    </xf>
    <xf numFmtId="3" fontId="33" fillId="11" borderId="67" xfId="0" applyNumberFormat="1" applyFont="1" applyFill="1" applyBorder="1" applyAlignment="1">
      <alignment horizontal="center" vertical="center" wrapText="1"/>
    </xf>
    <xf numFmtId="3" fontId="74" fillId="11" borderId="0" xfId="0" applyNumberFormat="1" applyFont="1" applyFill="1" applyBorder="1" applyAlignment="1">
      <alignment/>
    </xf>
    <xf numFmtId="0" fontId="74" fillId="11" borderId="0" xfId="0" applyFont="1" applyFill="1" applyBorder="1" applyAlignment="1">
      <alignment/>
    </xf>
    <xf numFmtId="0" fontId="74" fillId="11" borderId="0" xfId="0" applyFont="1" applyFill="1" applyAlignment="1">
      <alignment/>
    </xf>
    <xf numFmtId="0" fontId="75" fillId="11" borderId="0" xfId="0" applyFont="1" applyFill="1" applyAlignment="1">
      <alignment/>
    </xf>
    <xf numFmtId="0" fontId="75" fillId="11" borderId="0" xfId="0" applyFont="1" applyFill="1" applyBorder="1" applyAlignment="1">
      <alignment/>
    </xf>
    <xf numFmtId="0" fontId="3" fillId="11" borderId="68" xfId="0" applyFont="1" applyFill="1" applyBorder="1" applyAlignment="1">
      <alignment horizontal="center" vertical="center" wrapText="1"/>
    </xf>
    <xf numFmtId="0" fontId="2" fillId="11" borderId="69" xfId="0" applyFont="1" applyFill="1" applyBorder="1" applyAlignment="1">
      <alignment horizontal="center" vertical="center" wrapText="1"/>
    </xf>
    <xf numFmtId="0" fontId="3" fillId="11" borderId="70" xfId="0" applyFont="1" applyFill="1" applyBorder="1" applyAlignment="1">
      <alignment horizontal="center" vertical="center" wrapText="1"/>
    </xf>
    <xf numFmtId="1" fontId="75" fillId="11" borderId="0" xfId="0" applyNumberFormat="1" applyFont="1" applyFill="1" applyAlignment="1">
      <alignment/>
    </xf>
    <xf numFmtId="3" fontId="75" fillId="11" borderId="0" xfId="0" applyNumberFormat="1" applyFont="1" applyFill="1" applyAlignment="1">
      <alignment/>
    </xf>
    <xf numFmtId="0" fontId="3" fillId="11" borderId="71" xfId="0" applyFont="1" applyFill="1" applyBorder="1" applyAlignment="1">
      <alignment horizontal="center" vertical="center" wrapText="1"/>
    </xf>
    <xf numFmtId="0" fontId="2" fillId="11" borderId="71" xfId="0" applyFont="1" applyFill="1" applyBorder="1" applyAlignment="1">
      <alignment horizontal="center" vertical="center" wrapText="1"/>
    </xf>
    <xf numFmtId="1" fontId="3" fillId="11" borderId="71" xfId="0" applyNumberFormat="1" applyFont="1" applyFill="1" applyBorder="1" applyAlignment="1">
      <alignment horizontal="center" vertical="center" wrapText="1"/>
    </xf>
    <xf numFmtId="1" fontId="2" fillId="11" borderId="37" xfId="0" applyNumberFormat="1" applyFont="1" applyFill="1" applyBorder="1" applyAlignment="1">
      <alignment horizontal="center" vertical="center" wrapText="1"/>
    </xf>
    <xf numFmtId="1" fontId="3" fillId="11" borderId="68" xfId="0" applyNumberFormat="1" applyFont="1" applyFill="1" applyBorder="1" applyAlignment="1">
      <alignment horizontal="center" vertical="center" wrapText="1"/>
    </xf>
    <xf numFmtId="3" fontId="33" fillId="11" borderId="32" xfId="0" applyNumberFormat="1" applyFont="1" applyFill="1" applyBorder="1" applyAlignment="1">
      <alignment horizontal="center" vertical="center" wrapText="1"/>
    </xf>
    <xf numFmtId="3" fontId="33" fillId="11" borderId="30" xfId="0" applyNumberFormat="1" applyFont="1" applyFill="1" applyBorder="1" applyAlignment="1">
      <alignment horizontal="center" vertical="center" wrapText="1"/>
    </xf>
    <xf numFmtId="3" fontId="33" fillId="11" borderId="71" xfId="0" applyNumberFormat="1" applyFont="1" applyFill="1" applyBorder="1" applyAlignment="1">
      <alignment horizontal="center" vertical="center" wrapText="1"/>
    </xf>
    <xf numFmtId="3" fontId="76" fillId="11" borderId="0" xfId="0" applyNumberFormat="1" applyFont="1" applyFill="1" applyAlignment="1">
      <alignment/>
    </xf>
    <xf numFmtId="0" fontId="76" fillId="11" borderId="0" xfId="0" applyFont="1" applyFill="1" applyAlignment="1">
      <alignment/>
    </xf>
    <xf numFmtId="0" fontId="73" fillId="11" borderId="0" xfId="0" applyFont="1" applyFill="1" applyBorder="1" applyAlignment="1">
      <alignment vertical="center" wrapText="1"/>
    </xf>
    <xf numFmtId="0" fontId="73" fillId="11" borderId="0" xfId="0" applyFont="1" applyFill="1" applyAlignment="1">
      <alignment vertical="center" wrapText="1"/>
    </xf>
    <xf numFmtId="0" fontId="145" fillId="11" borderId="45" xfId="0" applyFont="1" applyFill="1" applyBorder="1" applyAlignment="1">
      <alignment horizontal="center" vertical="center" wrapText="1"/>
    </xf>
    <xf numFmtId="0" fontId="145" fillId="11" borderId="45" xfId="0" applyFont="1" applyFill="1" applyBorder="1" applyAlignment="1">
      <alignment vertical="center" wrapText="1"/>
    </xf>
    <xf numFmtId="3" fontId="145" fillId="11" borderId="32" xfId="0" applyNumberFormat="1" applyFont="1" applyFill="1" applyBorder="1" applyAlignment="1">
      <alignment horizontal="center" vertical="center" wrapText="1"/>
    </xf>
    <xf numFmtId="0" fontId="3" fillId="11" borderId="40" xfId="0" applyFont="1" applyFill="1" applyBorder="1" applyAlignment="1">
      <alignment horizontal="center" vertical="center" wrapText="1"/>
    </xf>
    <xf numFmtId="0" fontId="12" fillId="11" borderId="33" xfId="0" applyFont="1" applyFill="1" applyBorder="1" applyAlignment="1">
      <alignment horizontal="left" vertical="center" wrapText="1"/>
    </xf>
    <xf numFmtId="0" fontId="77" fillId="11" borderId="0" xfId="0" applyFont="1" applyFill="1" applyAlignment="1">
      <alignment/>
    </xf>
    <xf numFmtId="0" fontId="3" fillId="11" borderId="45" xfId="0" applyFont="1" applyFill="1" applyBorder="1" applyAlignment="1">
      <alignment horizontal="center" vertical="center" wrapText="1"/>
    </xf>
    <xf numFmtId="0" fontId="78" fillId="11" borderId="0" xfId="0" applyFont="1" applyFill="1" applyAlignment="1">
      <alignment/>
    </xf>
    <xf numFmtId="0" fontId="3" fillId="17" borderId="58" xfId="0" applyFont="1" applyFill="1" applyBorder="1" applyAlignment="1">
      <alignment horizontal="center" vertical="top" wrapText="1"/>
    </xf>
    <xf numFmtId="0" fontId="3" fillId="17" borderId="42" xfId="0" applyFont="1" applyFill="1" applyBorder="1" applyAlignment="1">
      <alignment horizontal="center" vertical="top" wrapText="1"/>
    </xf>
    <xf numFmtId="188" fontId="2" fillId="11" borderId="29" xfId="0" applyNumberFormat="1" applyFont="1" applyFill="1" applyBorder="1" applyAlignment="1">
      <alignment horizontal="center" vertical="center" wrapText="1"/>
    </xf>
    <xf numFmtId="1" fontId="2" fillId="11" borderId="29" xfId="0" applyNumberFormat="1" applyFont="1" applyFill="1" applyBorder="1" applyAlignment="1">
      <alignment horizontal="center" vertical="center" wrapText="1"/>
    </xf>
    <xf numFmtId="0" fontId="3" fillId="11" borderId="62" xfId="0" applyFont="1" applyFill="1" applyBorder="1" applyAlignment="1">
      <alignment horizontal="center" vertical="center" wrapText="1"/>
    </xf>
    <xf numFmtId="1" fontId="3" fillId="11" borderId="40" xfId="0" applyNumberFormat="1" applyFont="1" applyFill="1" applyBorder="1" applyAlignment="1">
      <alignment horizontal="center" vertical="center" wrapText="1"/>
    </xf>
    <xf numFmtId="1" fontId="3" fillId="11" borderId="72" xfId="0" applyNumberFormat="1" applyFont="1" applyFill="1" applyBorder="1" applyAlignment="1">
      <alignment horizontal="center" vertical="center" wrapText="1"/>
    </xf>
    <xf numFmtId="3" fontId="3" fillId="11" borderId="72" xfId="0" applyNumberFormat="1" applyFont="1" applyFill="1" applyBorder="1" applyAlignment="1">
      <alignment horizontal="center" vertical="center" wrapText="1"/>
    </xf>
    <xf numFmtId="0" fontId="2" fillId="11" borderId="72" xfId="0" applyFont="1" applyFill="1" applyBorder="1" applyAlignment="1">
      <alignment horizontal="center" vertical="center" wrapText="1"/>
    </xf>
    <xf numFmtId="0" fontId="3" fillId="11" borderId="72" xfId="0" applyFont="1" applyFill="1" applyBorder="1" applyAlignment="1">
      <alignment horizontal="center" vertical="center" wrapText="1"/>
    </xf>
    <xf numFmtId="0" fontId="2" fillId="11" borderId="62" xfId="0" applyFont="1" applyFill="1" applyBorder="1" applyAlignment="1">
      <alignment horizontal="center" vertical="center" wrapText="1"/>
    </xf>
    <xf numFmtId="1" fontId="3" fillId="11" borderId="61" xfId="0" applyNumberFormat="1" applyFont="1" applyFill="1" applyBorder="1" applyAlignment="1">
      <alignment horizontal="center" vertical="center" wrapText="1"/>
    </xf>
    <xf numFmtId="1" fontId="2" fillId="11" borderId="62" xfId="0" applyNumberFormat="1" applyFont="1" applyFill="1" applyBorder="1" applyAlignment="1">
      <alignment horizontal="center" vertical="center" wrapText="1"/>
    </xf>
    <xf numFmtId="3" fontId="3" fillId="11" borderId="62" xfId="0" applyNumberFormat="1" applyFont="1" applyFill="1" applyBorder="1" applyAlignment="1">
      <alignment horizontal="center" vertical="center" wrapText="1"/>
    </xf>
    <xf numFmtId="3" fontId="3" fillId="11" borderId="29" xfId="0" applyNumberFormat="1" applyFont="1" applyFill="1" applyBorder="1" applyAlignment="1">
      <alignment horizontal="center" vertical="center" wrapText="1"/>
    </xf>
    <xf numFmtId="1" fontId="3" fillId="11" borderId="73" xfId="0" applyNumberFormat="1" applyFont="1" applyFill="1" applyBorder="1" applyAlignment="1">
      <alignment horizontal="center" vertical="center" wrapText="1"/>
    </xf>
    <xf numFmtId="0" fontId="3" fillId="11" borderId="73" xfId="0" applyFont="1" applyFill="1" applyBorder="1" applyAlignment="1">
      <alignment horizontal="center" vertical="center" wrapText="1"/>
    </xf>
    <xf numFmtId="3" fontId="3" fillId="11" borderId="73" xfId="0" applyNumberFormat="1" applyFont="1" applyFill="1" applyBorder="1" applyAlignment="1">
      <alignment horizontal="center" vertical="center" wrapText="1"/>
    </xf>
    <xf numFmtId="0" fontId="3" fillId="11" borderId="59" xfId="0" applyFont="1" applyFill="1" applyBorder="1" applyAlignment="1">
      <alignment horizontal="center" vertical="center" wrapText="1"/>
    </xf>
    <xf numFmtId="0" fontId="3" fillId="11" borderId="61" xfId="0" applyFont="1" applyFill="1" applyBorder="1" applyAlignment="1">
      <alignment horizontal="center" vertical="center" wrapText="1"/>
    </xf>
    <xf numFmtId="1" fontId="2" fillId="11" borderId="72" xfId="0" applyNumberFormat="1" applyFont="1" applyFill="1" applyBorder="1" applyAlignment="1">
      <alignment horizontal="center" vertical="center" wrapText="1"/>
    </xf>
    <xf numFmtId="1" fontId="2" fillId="11" borderId="42" xfId="0" applyNumberFormat="1" applyFont="1" applyFill="1" applyBorder="1" applyAlignment="1">
      <alignment horizontal="center" vertical="center" wrapText="1"/>
    </xf>
    <xf numFmtId="3" fontId="3" fillId="11" borderId="42" xfId="0" applyNumberFormat="1" applyFont="1" applyFill="1" applyBorder="1" applyAlignment="1">
      <alignment horizontal="center" vertical="center" wrapText="1"/>
    </xf>
    <xf numFmtId="1" fontId="2" fillId="11" borderId="63" xfId="0" applyNumberFormat="1" applyFont="1" applyFill="1" applyBorder="1" applyAlignment="1">
      <alignment horizontal="center" vertical="center" wrapText="1"/>
    </xf>
    <xf numFmtId="3" fontId="3" fillId="11" borderId="63" xfId="0" applyNumberFormat="1" applyFont="1" applyFill="1" applyBorder="1" applyAlignment="1">
      <alignment horizontal="center" vertical="center" wrapText="1"/>
    </xf>
    <xf numFmtId="1" fontId="2" fillId="11" borderId="74" xfId="0" applyNumberFormat="1" applyFont="1" applyFill="1" applyBorder="1" applyAlignment="1">
      <alignment horizontal="center" vertical="center" wrapText="1"/>
    </xf>
    <xf numFmtId="3" fontId="3" fillId="11" borderId="74" xfId="0" applyNumberFormat="1" applyFont="1" applyFill="1" applyBorder="1" applyAlignment="1">
      <alignment horizontal="center" vertical="center" wrapText="1"/>
    </xf>
    <xf numFmtId="0" fontId="2" fillId="11" borderId="65" xfId="0" applyFont="1" applyFill="1" applyBorder="1" applyAlignment="1">
      <alignment horizontal="center" vertical="center" wrapText="1"/>
    </xf>
    <xf numFmtId="3" fontId="3" fillId="11" borderId="14" xfId="0" applyNumberFormat="1" applyFont="1" applyFill="1" applyBorder="1" applyAlignment="1">
      <alignment horizontal="center" vertical="center" wrapText="1"/>
    </xf>
    <xf numFmtId="1" fontId="3" fillId="11" borderId="42" xfId="0" applyNumberFormat="1" applyFont="1" applyFill="1" applyBorder="1" applyAlignment="1">
      <alignment horizontal="center" vertical="center" wrapText="1"/>
    </xf>
    <xf numFmtId="0" fontId="2" fillId="17" borderId="38" xfId="0" applyFont="1" applyFill="1" applyBorder="1" applyAlignment="1">
      <alignment horizontal="center" vertical="center" wrapText="1"/>
    </xf>
    <xf numFmtId="0" fontId="3" fillId="17" borderId="38" xfId="0" applyFont="1" applyFill="1" applyBorder="1" applyAlignment="1">
      <alignment vertical="center" wrapText="1"/>
    </xf>
    <xf numFmtId="1" fontId="3" fillId="17" borderId="64" xfId="0" applyNumberFormat="1" applyFont="1" applyFill="1" applyBorder="1" applyAlignment="1">
      <alignment horizontal="center" vertical="center" wrapText="1"/>
    </xf>
    <xf numFmtId="1" fontId="3" fillId="17" borderId="72" xfId="0" applyNumberFormat="1" applyFont="1" applyFill="1" applyBorder="1" applyAlignment="1">
      <alignment horizontal="center" vertical="center" wrapText="1"/>
    </xf>
    <xf numFmtId="3" fontId="72" fillId="11" borderId="0" xfId="0" applyNumberFormat="1" applyFont="1" applyFill="1" applyAlignment="1">
      <alignment/>
    </xf>
    <xf numFmtId="0" fontId="78" fillId="11" borderId="0" xfId="0" applyFont="1" applyFill="1" applyAlignment="1">
      <alignment vertical="center" wrapText="1"/>
    </xf>
    <xf numFmtId="0" fontId="3" fillId="17" borderId="75" xfId="0" applyFont="1" applyFill="1" applyBorder="1" applyAlignment="1">
      <alignment horizontal="center" vertical="top" wrapText="1"/>
    </xf>
    <xf numFmtId="1" fontId="3" fillId="11" borderId="29" xfId="0" applyNumberFormat="1" applyFont="1" applyFill="1" applyBorder="1" applyAlignment="1">
      <alignment horizontal="center" vertical="center" wrapText="1"/>
    </xf>
    <xf numFmtId="1" fontId="145" fillId="11" borderId="32" xfId="0" applyNumberFormat="1" applyFont="1" applyFill="1" applyBorder="1" applyAlignment="1">
      <alignment horizontal="center" vertical="center" wrapText="1"/>
    </xf>
    <xf numFmtId="1" fontId="145" fillId="11" borderId="62" xfId="0" applyNumberFormat="1" applyFont="1" applyFill="1" applyBorder="1" applyAlignment="1">
      <alignment horizontal="center" vertical="center" wrapText="1"/>
    </xf>
    <xf numFmtId="3" fontId="145" fillId="11" borderId="62" xfId="0" applyNumberFormat="1" applyFont="1" applyFill="1" applyBorder="1" applyAlignment="1">
      <alignment horizontal="center" vertical="center" wrapText="1"/>
    </xf>
    <xf numFmtId="1" fontId="2" fillId="11" borderId="73" xfId="0" applyNumberFormat="1" applyFont="1" applyFill="1" applyBorder="1" applyAlignment="1">
      <alignment horizontal="center" vertical="center" wrapText="1"/>
    </xf>
    <xf numFmtId="3" fontId="11" fillId="11" borderId="62" xfId="0" applyNumberFormat="1" applyFont="1" applyFill="1" applyBorder="1" applyAlignment="1">
      <alignment horizontal="center" vertical="center" wrapText="1"/>
    </xf>
    <xf numFmtId="1" fontId="11" fillId="11" borderId="29" xfId="0" applyNumberFormat="1" applyFont="1" applyFill="1" applyBorder="1" applyAlignment="1">
      <alignment horizontal="center" vertical="center" wrapText="1"/>
    </xf>
    <xf numFmtId="0" fontId="3" fillId="59" borderId="38" xfId="0" applyFont="1" applyFill="1" applyBorder="1" applyAlignment="1">
      <alignment vertical="center" wrapText="1"/>
    </xf>
    <xf numFmtId="1" fontId="3" fillId="59" borderId="72" xfId="0" applyNumberFormat="1" applyFont="1" applyFill="1" applyBorder="1" applyAlignment="1">
      <alignment horizontal="center" vertical="center" wrapText="1"/>
    </xf>
    <xf numFmtId="1" fontId="3" fillId="59" borderId="41" xfId="0" applyNumberFormat="1" applyFont="1" applyFill="1" applyBorder="1" applyAlignment="1">
      <alignment horizontal="center" vertical="center" wrapText="1"/>
    </xf>
    <xf numFmtId="0" fontId="145" fillId="59" borderId="45" xfId="0" applyFont="1" applyFill="1" applyBorder="1" applyAlignment="1">
      <alignment vertical="center" wrapText="1"/>
    </xf>
    <xf numFmtId="1" fontId="145" fillId="59" borderId="32" xfId="0" applyNumberFormat="1" applyFont="1" applyFill="1" applyBorder="1" applyAlignment="1">
      <alignment horizontal="center" vertical="center" wrapText="1"/>
    </xf>
    <xf numFmtId="1" fontId="145" fillId="59" borderId="62" xfId="0" applyNumberFormat="1" applyFont="1" applyFill="1" applyBorder="1" applyAlignment="1">
      <alignment horizontal="center" vertical="center" wrapText="1"/>
    </xf>
    <xf numFmtId="3" fontId="145" fillId="59" borderId="62" xfId="0" applyNumberFormat="1" applyFont="1" applyFill="1" applyBorder="1" applyAlignment="1">
      <alignment horizontal="center" vertical="center" wrapText="1"/>
    </xf>
    <xf numFmtId="0" fontId="4" fillId="17" borderId="38" xfId="0" applyFont="1" applyFill="1" applyBorder="1" applyAlignment="1">
      <alignment vertical="center" wrapText="1"/>
    </xf>
    <xf numFmtId="3" fontId="3" fillId="17" borderId="72" xfId="0" applyNumberFormat="1" applyFont="1" applyFill="1" applyBorder="1" applyAlignment="1">
      <alignment horizontal="center" vertical="center" wrapText="1"/>
    </xf>
    <xf numFmtId="1" fontId="3" fillId="17" borderId="40" xfId="0" applyNumberFormat="1" applyFont="1" applyFill="1" applyBorder="1" applyAlignment="1">
      <alignment horizontal="center" vertical="center" wrapText="1"/>
    </xf>
    <xf numFmtId="0" fontId="2" fillId="59" borderId="49" xfId="0" applyFont="1" applyFill="1" applyBorder="1" applyAlignment="1">
      <alignment horizontal="center" vertical="center" wrapText="1"/>
    </xf>
    <xf numFmtId="0" fontId="1" fillId="17" borderId="29" xfId="0" applyFont="1" applyFill="1" applyBorder="1" applyAlignment="1">
      <alignment horizontal="center" vertical="center" wrapText="1"/>
    </xf>
    <xf numFmtId="0" fontId="5" fillId="17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17" borderId="29" xfId="855" applyFont="1" applyFill="1" applyBorder="1" applyAlignment="1" applyProtection="1">
      <alignment horizontal="center" vertical="center" wrapText="1"/>
      <protection/>
    </xf>
    <xf numFmtId="0" fontId="2" fillId="17" borderId="29" xfId="0" applyFont="1" applyFill="1" applyBorder="1" applyAlignment="1">
      <alignment horizontal="center" vertical="center" wrapText="1"/>
    </xf>
    <xf numFmtId="0" fontId="3" fillId="17" borderId="29" xfId="1507" applyFont="1" applyFill="1" applyBorder="1" applyAlignment="1">
      <alignment vertical="center" wrapText="1"/>
      <protection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29" xfId="0" applyNumberFormat="1" applyFont="1" applyFill="1" applyBorder="1" applyAlignment="1">
      <alignment vertical="center" wrapText="1"/>
    </xf>
    <xf numFmtId="0" fontId="5" fillId="0" borderId="76" xfId="0" applyFont="1" applyFill="1" applyBorder="1" applyAlignment="1">
      <alignment vertical="center" wrapText="1"/>
    </xf>
    <xf numFmtId="0" fontId="5" fillId="11" borderId="76" xfId="0" applyFont="1" applyFill="1" applyBorder="1" applyAlignment="1">
      <alignment vertical="center" wrapText="1"/>
    </xf>
    <xf numFmtId="0" fontId="5" fillId="11" borderId="77" xfId="0" applyFont="1" applyFill="1" applyBorder="1" applyAlignment="1">
      <alignment vertical="center" wrapText="1"/>
    </xf>
    <xf numFmtId="0" fontId="5" fillId="0" borderId="77" xfId="0" applyFont="1" applyFill="1" applyBorder="1" applyAlignment="1">
      <alignment vertical="center" wrapText="1"/>
    </xf>
    <xf numFmtId="188" fontId="5" fillId="0" borderId="0" xfId="0" applyNumberFormat="1" applyFont="1" applyAlignment="1">
      <alignment/>
    </xf>
    <xf numFmtId="0" fontId="4" fillId="0" borderId="78" xfId="0" applyFont="1" applyBorder="1" applyAlignment="1">
      <alignment vertical="center" wrapText="1"/>
    </xf>
    <xf numFmtId="1" fontId="4" fillId="0" borderId="79" xfId="0" applyNumberFormat="1" applyFont="1" applyBorder="1" applyAlignment="1">
      <alignment vertical="center" wrapText="1"/>
    </xf>
    <xf numFmtId="3" fontId="4" fillId="0" borderId="79" xfId="0" applyNumberFormat="1" applyFont="1" applyBorder="1" applyAlignment="1">
      <alignment vertical="center" wrapText="1"/>
    </xf>
    <xf numFmtId="0" fontId="5" fillId="0" borderId="76" xfId="0" applyFont="1" applyBorder="1" applyAlignment="1">
      <alignment vertical="center" wrapText="1"/>
    </xf>
    <xf numFmtId="0" fontId="5" fillId="0" borderId="76" xfId="0" applyFont="1" applyBorder="1" applyAlignment="1" applyProtection="1">
      <alignment/>
      <protection locked="0"/>
    </xf>
    <xf numFmtId="3" fontId="4" fillId="0" borderId="62" xfId="0" applyNumberFormat="1" applyFont="1" applyFill="1" applyBorder="1" applyAlignment="1">
      <alignment vertical="center" wrapText="1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5" fillId="0" borderId="77" xfId="0" applyFont="1" applyBorder="1" applyAlignment="1" applyProtection="1">
      <alignment/>
      <protection locked="0"/>
    </xf>
    <xf numFmtId="0" fontId="5" fillId="0" borderId="77" xfId="0" applyFont="1" applyBorder="1" applyAlignment="1" applyProtection="1">
      <alignment wrapText="1"/>
      <protection locked="0"/>
    </xf>
    <xf numFmtId="0" fontId="5" fillId="0" borderId="77" xfId="0" applyFont="1" applyBorder="1" applyAlignment="1" applyProtection="1">
      <alignment vertical="center" wrapText="1"/>
      <protection locked="0"/>
    </xf>
    <xf numFmtId="0" fontId="5" fillId="0" borderId="77" xfId="0" applyFont="1" applyBorder="1" applyAlignment="1">
      <alignment vertical="center" wrapText="1"/>
    </xf>
    <xf numFmtId="0" fontId="5" fillId="0" borderId="80" xfId="0" applyFont="1" applyBorder="1" applyAlignment="1">
      <alignment vertical="center" wrapText="1"/>
    </xf>
    <xf numFmtId="3" fontId="4" fillId="0" borderId="29" xfId="0" applyNumberFormat="1" applyFont="1" applyBorder="1" applyAlignment="1">
      <alignment vertical="center" wrapText="1"/>
    </xf>
    <xf numFmtId="3" fontId="4" fillId="0" borderId="62" xfId="0" applyNumberFormat="1" applyFont="1" applyBorder="1" applyAlignment="1">
      <alignment vertical="center" wrapText="1"/>
    </xf>
    <xf numFmtId="3" fontId="4" fillId="11" borderId="29" xfId="0" applyNumberFormat="1" applyFont="1" applyFill="1" applyBorder="1" applyAlignment="1">
      <alignment vertical="center" wrapText="1"/>
    </xf>
    <xf numFmtId="0" fontId="5" fillId="0" borderId="81" xfId="0" applyFont="1" applyBorder="1" applyAlignment="1">
      <alignment vertical="center" wrapText="1"/>
    </xf>
    <xf numFmtId="0" fontId="5" fillId="59" borderId="77" xfId="0" applyFont="1" applyFill="1" applyBorder="1" applyAlignment="1">
      <alignment vertical="center" wrapText="1"/>
    </xf>
    <xf numFmtId="3" fontId="4" fillId="59" borderId="29" xfId="0" applyNumberFormat="1" applyFont="1" applyFill="1" applyBorder="1" applyAlignment="1">
      <alignment vertical="center" wrapText="1"/>
    </xf>
    <xf numFmtId="0" fontId="5" fillId="59" borderId="0" xfId="0" applyFont="1" applyFill="1" applyAlignment="1">
      <alignment/>
    </xf>
    <xf numFmtId="0" fontId="14" fillId="0" borderId="76" xfId="0" applyFont="1" applyBorder="1" applyAlignment="1">
      <alignment vertical="center" wrapText="1"/>
    </xf>
    <xf numFmtId="0" fontId="5" fillId="0" borderId="82" xfId="0" applyFont="1" applyFill="1" applyBorder="1" applyAlignment="1">
      <alignment vertical="center" wrapText="1"/>
    </xf>
    <xf numFmtId="0" fontId="4" fillId="17" borderId="78" xfId="0" applyFont="1" applyFill="1" applyBorder="1" applyAlignment="1">
      <alignment vertical="center" wrapText="1"/>
    </xf>
    <xf numFmtId="3" fontId="5" fillId="59" borderId="0" xfId="0" applyNumberFormat="1" applyFont="1" applyFill="1" applyAlignment="1">
      <alignment/>
    </xf>
    <xf numFmtId="0" fontId="146" fillId="0" borderId="76" xfId="0" applyFont="1" applyBorder="1" applyAlignment="1" applyProtection="1">
      <alignment vertical="center" wrapText="1"/>
      <protection locked="0"/>
    </xf>
    <xf numFmtId="3" fontId="147" fillId="0" borderId="62" xfId="0" applyNumberFormat="1" applyFont="1" applyFill="1" applyBorder="1" applyAlignment="1">
      <alignment vertical="center" wrapText="1"/>
    </xf>
    <xf numFmtId="0" fontId="146" fillId="0" borderId="0" xfId="0" applyFont="1" applyAlignment="1">
      <alignment/>
    </xf>
    <xf numFmtId="3" fontId="146" fillId="0" borderId="0" xfId="0" applyNumberFormat="1" applyFont="1" applyAlignment="1">
      <alignment/>
    </xf>
    <xf numFmtId="2" fontId="146" fillId="0" borderId="0" xfId="0" applyNumberFormat="1" applyFont="1" applyAlignment="1">
      <alignment/>
    </xf>
    <xf numFmtId="0" fontId="148" fillId="0" borderId="0" xfId="0" applyFont="1" applyAlignment="1">
      <alignment/>
    </xf>
    <xf numFmtId="3" fontId="148" fillId="0" borderId="0" xfId="0" applyNumberFormat="1" applyFont="1" applyAlignment="1">
      <alignment/>
    </xf>
    <xf numFmtId="0" fontId="2" fillId="0" borderId="62" xfId="0" applyFont="1" applyBorder="1" applyAlignment="1">
      <alignment vertical="center" wrapText="1"/>
    </xf>
    <xf numFmtId="3" fontId="147" fillId="0" borderId="29" xfId="0" applyNumberFormat="1" applyFont="1" applyFill="1" applyBorder="1" applyAlignment="1">
      <alignment vertical="center" wrapText="1"/>
    </xf>
    <xf numFmtId="0" fontId="5" fillId="0" borderId="83" xfId="0" applyFont="1" applyBorder="1" applyAlignment="1">
      <alignment vertical="center" wrapText="1"/>
    </xf>
    <xf numFmtId="3" fontId="4" fillId="0" borderId="84" xfId="0" applyNumberFormat="1" applyFont="1" applyBorder="1" applyAlignment="1">
      <alignment vertical="center" wrapText="1"/>
    </xf>
    <xf numFmtId="0" fontId="146" fillId="0" borderId="77" xfId="0" applyFont="1" applyBorder="1" applyAlignment="1" applyProtection="1">
      <alignment vertical="center" wrapText="1"/>
      <protection locked="0"/>
    </xf>
    <xf numFmtId="0" fontId="5" fillId="0" borderId="82" xfId="0" applyFont="1" applyBorder="1" applyAlignment="1">
      <alignment vertical="center" wrapText="1"/>
    </xf>
    <xf numFmtId="3" fontId="4" fillId="0" borderId="63" xfId="0" applyNumberFormat="1" applyFont="1" applyBorder="1" applyAlignment="1">
      <alignment vertical="center" wrapText="1"/>
    </xf>
    <xf numFmtId="3" fontId="4" fillId="0" borderId="63" xfId="0" applyNumberFormat="1" applyFont="1" applyFill="1" applyBorder="1" applyAlignment="1">
      <alignment vertical="center" wrapText="1"/>
    </xf>
    <xf numFmtId="3" fontId="4" fillId="0" borderId="79" xfId="0" applyNumberFormat="1" applyFont="1" applyFill="1" applyBorder="1" applyAlignment="1">
      <alignment vertical="center" wrapText="1"/>
    </xf>
    <xf numFmtId="0" fontId="4" fillId="0" borderId="76" xfId="0" applyFont="1" applyBorder="1" applyAlignment="1">
      <alignment vertical="center" wrapText="1"/>
    </xf>
    <xf numFmtId="0" fontId="147" fillId="0" borderId="76" xfId="0" applyFont="1" applyBorder="1" applyAlignment="1" applyProtection="1">
      <alignment vertical="center" wrapText="1"/>
      <protection locked="0"/>
    </xf>
    <xf numFmtId="0" fontId="2" fillId="0" borderId="0" xfId="1425" applyFont="1" applyAlignment="1">
      <alignment vertical="center" wrapText="1"/>
      <protection/>
    </xf>
    <xf numFmtId="0" fontId="2" fillId="0" borderId="0" xfId="1425" applyFont="1" applyAlignment="1">
      <alignment horizontal="right" vertical="center" wrapText="1"/>
      <protection/>
    </xf>
    <xf numFmtId="0" fontId="5" fillId="0" borderId="0" xfId="1425" applyFont="1" applyAlignment="1">
      <alignment vertical="center" wrapText="1"/>
      <protection/>
    </xf>
    <xf numFmtId="3" fontId="3" fillId="0" borderId="29" xfId="1425" applyNumberFormat="1" applyFont="1" applyBorder="1" applyAlignment="1">
      <alignment vertical="center" wrapText="1"/>
      <protection/>
    </xf>
    <xf numFmtId="0" fontId="3" fillId="0" borderId="29" xfId="1425" applyFont="1" applyBorder="1" applyAlignment="1">
      <alignment vertical="center" wrapText="1"/>
      <protection/>
    </xf>
    <xf numFmtId="0" fontId="3" fillId="0" borderId="0" xfId="1425" applyFont="1" applyAlignment="1">
      <alignment vertical="center" wrapText="1"/>
      <protection/>
    </xf>
    <xf numFmtId="3" fontId="73" fillId="59" borderId="0" xfId="0" applyNumberFormat="1" applyFont="1" applyFill="1" applyAlignment="1">
      <alignment/>
    </xf>
    <xf numFmtId="0" fontId="12" fillId="0" borderId="77" xfId="0" applyFont="1" applyBorder="1" applyAlignment="1" applyProtection="1">
      <alignment/>
      <protection locked="0"/>
    </xf>
    <xf numFmtId="1" fontId="73" fillId="59" borderId="0" xfId="0" applyNumberFormat="1" applyFont="1" applyFill="1" applyAlignment="1">
      <alignment/>
    </xf>
    <xf numFmtId="0" fontId="2" fillId="59" borderId="30" xfId="0" applyFont="1" applyFill="1" applyBorder="1" applyAlignment="1">
      <alignment horizontal="center" vertical="center" wrapText="1"/>
    </xf>
    <xf numFmtId="0" fontId="2" fillId="59" borderId="32" xfId="0" applyFont="1" applyFill="1" applyBorder="1" applyAlignment="1">
      <alignment horizontal="center" vertical="center" wrapText="1"/>
    </xf>
    <xf numFmtId="0" fontId="2" fillId="59" borderId="40" xfId="0" applyFont="1" applyFill="1" applyBorder="1" applyAlignment="1">
      <alignment horizontal="center" vertical="center" wrapText="1"/>
    </xf>
    <xf numFmtId="1" fontId="2" fillId="59" borderId="29" xfId="0" applyNumberFormat="1" applyFont="1" applyFill="1" applyBorder="1" applyAlignment="1">
      <alignment horizontal="center" vertical="center" wrapText="1"/>
    </xf>
    <xf numFmtId="1" fontId="2" fillId="59" borderId="72" xfId="0" applyNumberFormat="1" applyFont="1" applyFill="1" applyBorder="1" applyAlignment="1">
      <alignment horizontal="center" vertical="center" wrapText="1"/>
    </xf>
    <xf numFmtId="1" fontId="2" fillId="59" borderId="62" xfId="0" applyNumberFormat="1" applyFont="1" applyFill="1" applyBorder="1" applyAlignment="1">
      <alignment horizontal="center" vertical="center" wrapText="1"/>
    </xf>
    <xf numFmtId="0" fontId="2" fillId="59" borderId="62" xfId="0" applyFont="1" applyFill="1" applyBorder="1" applyAlignment="1">
      <alignment horizontal="center" vertical="center" wrapText="1"/>
    </xf>
    <xf numFmtId="3" fontId="2" fillId="0" borderId="0" xfId="1425" applyNumberFormat="1" applyFont="1" applyAlignment="1">
      <alignment vertical="center" wrapText="1"/>
      <protection/>
    </xf>
    <xf numFmtId="0" fontId="149" fillId="17" borderId="29" xfId="1507" applyFont="1" applyFill="1" applyBorder="1" applyAlignment="1">
      <alignment vertical="center" wrapText="1"/>
      <protection/>
    </xf>
    <xf numFmtId="0" fontId="149" fillId="17" borderId="29" xfId="1507" applyFont="1" applyFill="1" applyBorder="1" applyAlignment="1">
      <alignment horizontal="left" vertical="center" wrapText="1"/>
      <protection/>
    </xf>
    <xf numFmtId="0" fontId="73" fillId="59" borderId="0" xfId="0" applyFont="1" applyFill="1" applyBorder="1" applyAlignment="1">
      <alignment/>
    </xf>
    <xf numFmtId="1" fontId="75" fillId="11" borderId="0" xfId="0" applyNumberFormat="1" applyFont="1" applyFill="1" applyBorder="1" applyAlignment="1">
      <alignment/>
    </xf>
    <xf numFmtId="3" fontId="75" fillId="11" borderId="0" xfId="0" applyNumberFormat="1" applyFont="1" applyFill="1" applyBorder="1" applyAlignment="1">
      <alignment/>
    </xf>
    <xf numFmtId="0" fontId="150" fillId="0" borderId="0" xfId="0" applyFont="1" applyAlignment="1">
      <alignment/>
    </xf>
    <xf numFmtId="3" fontId="150" fillId="0" borderId="0" xfId="0" applyNumberFormat="1" applyFont="1" applyAlignment="1">
      <alignment/>
    </xf>
    <xf numFmtId="3" fontId="150" fillId="11" borderId="62" xfId="0" applyNumberFormat="1" applyFont="1" applyFill="1" applyBorder="1" applyAlignment="1">
      <alignment vertical="center" wrapText="1"/>
    </xf>
    <xf numFmtId="3" fontId="150" fillId="11" borderId="33" xfId="0" applyNumberFormat="1" applyFont="1" applyFill="1" applyBorder="1" applyAlignment="1">
      <alignment vertical="center" wrapText="1"/>
    </xf>
    <xf numFmtId="3" fontId="150" fillId="11" borderId="85" xfId="0" applyNumberFormat="1" applyFont="1" applyFill="1" applyBorder="1" applyAlignment="1">
      <alignment vertical="center" wrapText="1"/>
    </xf>
    <xf numFmtId="3" fontId="150" fillId="11" borderId="29" xfId="0" applyNumberFormat="1" applyFont="1" applyFill="1" applyBorder="1" applyAlignment="1">
      <alignment vertical="center" wrapText="1"/>
    </xf>
    <xf numFmtId="3" fontId="150" fillId="11" borderId="31" xfId="0" applyNumberFormat="1" applyFont="1" applyFill="1" applyBorder="1" applyAlignment="1">
      <alignment vertical="center" wrapText="1"/>
    </xf>
    <xf numFmtId="3" fontId="150" fillId="11" borderId="86" xfId="0" applyNumberFormat="1" applyFont="1" applyFill="1" applyBorder="1" applyAlignment="1">
      <alignment vertical="center" wrapText="1"/>
    </xf>
    <xf numFmtId="3" fontId="151" fillId="59" borderId="29" xfId="0" applyNumberFormat="1" applyFont="1" applyFill="1" applyBorder="1" applyAlignment="1">
      <alignment vertical="center" wrapText="1"/>
    </xf>
    <xf numFmtId="3" fontId="151" fillId="59" borderId="33" xfId="0" applyNumberFormat="1" applyFont="1" applyFill="1" applyBorder="1" applyAlignment="1">
      <alignment vertical="center" wrapText="1"/>
    </xf>
    <xf numFmtId="3" fontId="151" fillId="59" borderId="85" xfId="0" applyNumberFormat="1" applyFont="1" applyFill="1" applyBorder="1" applyAlignment="1">
      <alignment vertical="center" wrapText="1"/>
    </xf>
    <xf numFmtId="3" fontId="152" fillId="0" borderId="79" xfId="0" applyNumberFormat="1" applyFont="1" applyBorder="1" applyAlignment="1">
      <alignment vertical="center" wrapText="1"/>
    </xf>
    <xf numFmtId="3" fontId="152" fillId="0" borderId="87" xfId="0" applyNumberFormat="1" applyFont="1" applyBorder="1" applyAlignment="1">
      <alignment vertical="center" wrapText="1"/>
    </xf>
    <xf numFmtId="3" fontId="150" fillId="59" borderId="74" xfId="0" applyNumberFormat="1" applyFont="1" applyFill="1" applyBorder="1" applyAlignment="1">
      <alignment vertical="center" wrapText="1"/>
    </xf>
    <xf numFmtId="3" fontId="150" fillId="59" borderId="88" xfId="0" applyNumberFormat="1" applyFont="1" applyFill="1" applyBorder="1" applyAlignment="1">
      <alignment vertical="center" wrapText="1"/>
    </xf>
    <xf numFmtId="3" fontId="150" fillId="59" borderId="89" xfId="0" applyNumberFormat="1" applyFont="1" applyFill="1" applyBorder="1" applyAlignment="1">
      <alignment vertical="center" wrapText="1"/>
    </xf>
    <xf numFmtId="3" fontId="150" fillId="11" borderId="79" xfId="0" applyNumberFormat="1" applyFont="1" applyFill="1" applyBorder="1" applyAlignment="1">
      <alignment vertical="center" wrapText="1"/>
    </xf>
    <xf numFmtId="3" fontId="150" fillId="11" borderId="90" xfId="0" applyNumberFormat="1" applyFont="1" applyFill="1" applyBorder="1" applyAlignment="1">
      <alignment vertical="center" wrapText="1"/>
    </xf>
    <xf numFmtId="3" fontId="150" fillId="11" borderId="87" xfId="0" applyNumberFormat="1" applyFont="1" applyFill="1" applyBorder="1" applyAlignment="1">
      <alignment vertical="center" wrapText="1"/>
    </xf>
    <xf numFmtId="3" fontId="150" fillId="59" borderId="63" xfId="0" applyNumberFormat="1" applyFont="1" applyFill="1" applyBorder="1" applyAlignment="1">
      <alignment vertical="center" wrapText="1"/>
    </xf>
    <xf numFmtId="3" fontId="150" fillId="59" borderId="62" xfId="0" applyNumberFormat="1" applyFont="1" applyFill="1" applyBorder="1" applyAlignment="1">
      <alignment vertical="center" wrapText="1"/>
    </xf>
    <xf numFmtId="3" fontId="150" fillId="59" borderId="33" xfId="0" applyNumberFormat="1" applyFont="1" applyFill="1" applyBorder="1" applyAlignment="1">
      <alignment vertical="center" wrapText="1"/>
    </xf>
    <xf numFmtId="3" fontId="150" fillId="59" borderId="85" xfId="0" applyNumberFormat="1" applyFont="1" applyFill="1" applyBorder="1" applyAlignment="1">
      <alignment vertical="center" wrapText="1"/>
    </xf>
    <xf numFmtId="3" fontId="150" fillId="59" borderId="29" xfId="0" applyNumberFormat="1" applyFont="1" applyFill="1" applyBorder="1" applyAlignment="1">
      <alignment vertical="center" wrapText="1"/>
    </xf>
    <xf numFmtId="3" fontId="150" fillId="59" borderId="31" xfId="0" applyNumberFormat="1" applyFont="1" applyFill="1" applyBorder="1" applyAlignment="1">
      <alignment vertical="center" wrapText="1"/>
    </xf>
    <xf numFmtId="3" fontId="150" fillId="59" borderId="86" xfId="0" applyNumberFormat="1" applyFont="1" applyFill="1" applyBorder="1" applyAlignment="1">
      <alignment vertical="center" wrapText="1"/>
    </xf>
    <xf numFmtId="3" fontId="150" fillId="59" borderId="91" xfId="0" applyNumberFormat="1" applyFont="1" applyFill="1" applyBorder="1" applyAlignment="1">
      <alignment vertical="center" wrapText="1"/>
    </xf>
    <xf numFmtId="3" fontId="150" fillId="59" borderId="84" xfId="0" applyNumberFormat="1" applyFont="1" applyFill="1" applyBorder="1" applyAlignment="1">
      <alignment vertical="center" wrapText="1"/>
    </xf>
    <xf numFmtId="3" fontId="150" fillId="59" borderId="92" xfId="0" applyNumberFormat="1" applyFont="1" applyFill="1" applyBorder="1" applyAlignment="1">
      <alignment vertical="center" wrapText="1"/>
    </xf>
    <xf numFmtId="3" fontId="151" fillId="59" borderId="86" xfId="0" applyNumberFormat="1" applyFont="1" applyFill="1" applyBorder="1" applyAlignment="1">
      <alignment vertical="center" wrapText="1"/>
    </xf>
    <xf numFmtId="3" fontId="150" fillId="0" borderId="29" xfId="0" applyNumberFormat="1" applyFont="1" applyFill="1" applyBorder="1" applyAlignment="1">
      <alignment vertical="center" wrapText="1"/>
    </xf>
    <xf numFmtId="3" fontId="150" fillId="0" borderId="33" xfId="0" applyNumberFormat="1" applyFont="1" applyFill="1" applyBorder="1" applyAlignment="1">
      <alignment vertical="center" wrapText="1"/>
    </xf>
    <xf numFmtId="3" fontId="150" fillId="0" borderId="85" xfId="0" applyNumberFormat="1" applyFont="1" applyFill="1" applyBorder="1" applyAlignment="1">
      <alignment vertical="center" wrapText="1"/>
    </xf>
    <xf numFmtId="3" fontId="152" fillId="17" borderId="79" xfId="0" applyNumberFormat="1" applyFont="1" applyFill="1" applyBorder="1" applyAlignment="1">
      <alignment vertical="center" wrapText="1"/>
    </xf>
    <xf numFmtId="3" fontId="150" fillId="59" borderId="0" xfId="0" applyNumberFormat="1" applyFont="1" applyFill="1" applyAlignment="1">
      <alignment/>
    </xf>
    <xf numFmtId="0" fontId="150" fillId="59" borderId="0" xfId="0" applyFont="1" applyFill="1" applyAlignment="1">
      <alignment/>
    </xf>
    <xf numFmtId="0" fontId="148" fillId="0" borderId="76" xfId="0" applyFont="1" applyBorder="1" applyAlignment="1" applyProtection="1">
      <alignment vertical="center" wrapText="1"/>
      <protection locked="0"/>
    </xf>
    <xf numFmtId="1" fontId="2" fillId="59" borderId="30" xfId="0" applyNumberFormat="1" applyFont="1" applyFill="1" applyBorder="1" applyAlignment="1">
      <alignment horizontal="center" vertical="center" wrapText="1"/>
    </xf>
    <xf numFmtId="1" fontId="2" fillId="59" borderId="40" xfId="0" applyNumberFormat="1" applyFont="1" applyFill="1" applyBorder="1" applyAlignment="1">
      <alignment horizontal="center" vertical="center" wrapText="1"/>
    </xf>
    <xf numFmtId="1" fontId="2" fillId="59" borderId="32" xfId="0" applyNumberFormat="1" applyFont="1" applyFill="1" applyBorder="1" applyAlignment="1">
      <alignment horizontal="center" vertical="center" wrapText="1"/>
    </xf>
    <xf numFmtId="0" fontId="2" fillId="11" borderId="93" xfId="0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/>
    </xf>
    <xf numFmtId="3" fontId="153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11" borderId="62" xfId="0" applyNumberFormat="1" applyFont="1" applyFill="1" applyBorder="1" applyAlignment="1">
      <alignment vertical="center" wrapText="1"/>
    </xf>
    <xf numFmtId="3" fontId="5" fillId="11" borderId="33" xfId="0" applyNumberFormat="1" applyFont="1" applyFill="1" applyBorder="1" applyAlignment="1">
      <alignment vertical="center" wrapText="1"/>
    </xf>
    <xf numFmtId="3" fontId="5" fillId="11" borderId="85" xfId="0" applyNumberFormat="1" applyFont="1" applyFill="1" applyBorder="1" applyAlignment="1">
      <alignment vertical="center" wrapText="1"/>
    </xf>
    <xf numFmtId="3" fontId="5" fillId="11" borderId="29" xfId="0" applyNumberFormat="1" applyFont="1" applyFill="1" applyBorder="1" applyAlignment="1">
      <alignment vertical="center" wrapText="1"/>
    </xf>
    <xf numFmtId="3" fontId="5" fillId="59" borderId="29" xfId="0" applyNumberFormat="1" applyFont="1" applyFill="1" applyBorder="1" applyAlignment="1">
      <alignment vertical="center" wrapText="1"/>
    </xf>
    <xf numFmtId="3" fontId="5" fillId="59" borderId="33" xfId="0" applyNumberFormat="1" applyFont="1" applyFill="1" applyBorder="1" applyAlignment="1">
      <alignment vertical="center" wrapText="1"/>
    </xf>
    <xf numFmtId="3" fontId="5" fillId="59" borderId="74" xfId="0" applyNumberFormat="1" applyFont="1" applyFill="1" applyBorder="1" applyAlignment="1">
      <alignment vertical="center" wrapText="1"/>
    </xf>
    <xf numFmtId="3" fontId="5" fillId="59" borderId="88" xfId="0" applyNumberFormat="1" applyFont="1" applyFill="1" applyBorder="1" applyAlignment="1">
      <alignment vertical="center" wrapText="1"/>
    </xf>
    <xf numFmtId="3" fontId="5" fillId="59" borderId="89" xfId="0" applyNumberFormat="1" applyFont="1" applyFill="1" applyBorder="1" applyAlignment="1">
      <alignment vertical="center" wrapText="1"/>
    </xf>
    <xf numFmtId="3" fontId="12" fillId="59" borderId="29" xfId="0" applyNumberFormat="1" applyFont="1" applyFill="1" applyBorder="1" applyAlignment="1">
      <alignment vertical="center" wrapText="1"/>
    </xf>
    <xf numFmtId="3" fontId="12" fillId="59" borderId="33" xfId="0" applyNumberFormat="1" applyFont="1" applyFill="1" applyBorder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188" fontId="9" fillId="0" borderId="0" xfId="0" applyNumberFormat="1" applyFont="1" applyAlignment="1">
      <alignment vertical="center" wrapText="1"/>
    </xf>
    <xf numFmtId="188" fontId="1" fillId="0" borderId="0" xfId="0" applyNumberFormat="1" applyFont="1" applyAlignment="1">
      <alignment vertical="center" wrapText="1"/>
    </xf>
    <xf numFmtId="3" fontId="4" fillId="11" borderId="79" xfId="0" applyNumberFormat="1" applyFont="1" applyFill="1" applyBorder="1" applyAlignment="1">
      <alignment vertical="center" wrapText="1"/>
    </xf>
    <xf numFmtId="3" fontId="5" fillId="59" borderId="62" xfId="0" applyNumberFormat="1" applyFont="1" applyFill="1" applyBorder="1" applyAlignment="1">
      <alignment vertical="center" wrapText="1"/>
    </xf>
    <xf numFmtId="0" fontId="79" fillId="11" borderId="29" xfId="0" applyFont="1" applyFill="1" applyBorder="1" applyAlignment="1">
      <alignment vertical="center" wrapText="1"/>
    </xf>
    <xf numFmtId="3" fontId="3" fillId="17" borderId="29" xfId="1507" applyNumberFormat="1" applyFont="1" applyFill="1" applyBorder="1" applyAlignment="1">
      <alignment vertical="center" wrapText="1"/>
      <protection/>
    </xf>
    <xf numFmtId="0" fontId="35" fillId="0" borderId="29" xfId="0" applyFont="1" applyBorder="1" applyAlignment="1">
      <alignment vertical="center" wrapText="1"/>
    </xf>
    <xf numFmtId="0" fontId="11" fillId="17" borderId="29" xfId="1425" applyFont="1" applyFill="1" applyBorder="1" applyAlignment="1">
      <alignment horizontal="center" vertical="center" wrapText="1"/>
      <protection/>
    </xf>
    <xf numFmtId="0" fontId="2" fillId="17" borderId="29" xfId="1425" applyFont="1" applyFill="1" applyBorder="1" applyAlignment="1">
      <alignment horizontal="center" vertical="center" wrapText="1"/>
      <protection/>
    </xf>
    <xf numFmtId="3" fontId="35" fillId="0" borderId="29" xfId="1425" applyNumberFormat="1" applyFont="1" applyBorder="1" applyAlignment="1">
      <alignment vertical="center" wrapText="1"/>
      <protection/>
    </xf>
    <xf numFmtId="0" fontId="3" fillId="0" borderId="77" xfId="1425" applyFont="1" applyBorder="1" applyAlignment="1">
      <alignment vertical="center" wrapText="1"/>
      <protection/>
    </xf>
    <xf numFmtId="0" fontId="3" fillId="0" borderId="82" xfId="1425" applyFont="1" applyBorder="1" applyAlignment="1">
      <alignment vertical="center" wrapText="1"/>
      <protection/>
    </xf>
    <xf numFmtId="3" fontId="3" fillId="0" borderId="63" xfId="1425" applyNumberFormat="1" applyFont="1" applyBorder="1" applyAlignment="1">
      <alignment vertical="center" wrapText="1"/>
      <protection/>
    </xf>
    <xf numFmtId="0" fontId="2" fillId="0" borderId="76" xfId="1425" applyFont="1" applyBorder="1" applyAlignment="1">
      <alignment vertical="center" wrapText="1"/>
      <protection/>
    </xf>
    <xf numFmtId="0" fontId="2" fillId="0" borderId="77" xfId="1425" applyFont="1" applyBorder="1" applyAlignment="1">
      <alignment vertical="center" wrapText="1"/>
      <protection/>
    </xf>
    <xf numFmtId="3" fontId="3" fillId="17" borderId="29" xfId="1425" applyNumberFormat="1" applyFont="1" applyFill="1" applyBorder="1" applyAlignment="1">
      <alignment vertical="center" wrapText="1"/>
      <protection/>
    </xf>
    <xf numFmtId="3" fontId="3" fillId="17" borderId="63" xfId="1425" applyNumberFormat="1" applyFont="1" applyFill="1" applyBorder="1" applyAlignment="1">
      <alignment vertical="center" wrapText="1"/>
      <protection/>
    </xf>
    <xf numFmtId="3" fontId="3" fillId="17" borderId="62" xfId="1425" applyNumberFormat="1" applyFont="1" applyFill="1" applyBorder="1" applyAlignment="1">
      <alignment vertical="center" wrapText="1"/>
      <protection/>
    </xf>
    <xf numFmtId="0" fontId="2" fillId="59" borderId="31" xfId="1425" applyFont="1" applyFill="1" applyBorder="1" applyAlignment="1">
      <alignment vertical="center" wrapText="1"/>
      <protection/>
    </xf>
    <xf numFmtId="3" fontId="3" fillId="59" borderId="94" xfId="1425" applyNumberFormat="1" applyFont="1" applyFill="1" applyBorder="1" applyAlignment="1">
      <alignment vertical="center" wrapText="1"/>
      <protection/>
    </xf>
    <xf numFmtId="3" fontId="2" fillId="59" borderId="94" xfId="1425" applyNumberFormat="1" applyFont="1" applyFill="1" applyBorder="1" applyAlignment="1">
      <alignment vertical="center" wrapText="1"/>
      <protection/>
    </xf>
    <xf numFmtId="3" fontId="11" fillId="59" borderId="94" xfId="1425" applyNumberFormat="1" applyFont="1" applyFill="1" applyBorder="1" applyAlignment="1">
      <alignment vertical="center" wrapText="1"/>
      <protection/>
    </xf>
    <xf numFmtId="3" fontId="2" fillId="59" borderId="65" xfId="1425" applyNumberFormat="1" applyFont="1" applyFill="1" applyBorder="1" applyAlignment="1">
      <alignment vertical="center" wrapText="1"/>
      <protection/>
    </xf>
    <xf numFmtId="0" fontId="144" fillId="0" borderId="0" xfId="0" applyFont="1" applyAlignment="1">
      <alignment/>
    </xf>
    <xf numFmtId="0" fontId="144" fillId="0" borderId="0" xfId="0" applyFont="1" applyAlignment="1">
      <alignment horizontal="right"/>
    </xf>
    <xf numFmtId="3" fontId="4" fillId="11" borderId="90" xfId="0" applyNumberFormat="1" applyFont="1" applyFill="1" applyBorder="1" applyAlignment="1">
      <alignment vertical="center" wrapText="1"/>
    </xf>
    <xf numFmtId="3" fontId="4" fillId="11" borderId="87" xfId="0" applyNumberFormat="1" applyFont="1" applyFill="1" applyBorder="1" applyAlignment="1">
      <alignment vertical="center" wrapText="1"/>
    </xf>
    <xf numFmtId="0" fontId="6" fillId="0" borderId="78" xfId="0" applyFont="1" applyBorder="1" applyAlignment="1">
      <alignment vertical="center" wrapText="1"/>
    </xf>
    <xf numFmtId="0" fontId="11" fillId="11" borderId="31" xfId="0" applyFont="1" applyFill="1" applyBorder="1" applyAlignment="1">
      <alignment vertical="center" wrapText="1"/>
    </xf>
    <xf numFmtId="1" fontId="3" fillId="59" borderId="29" xfId="0" applyNumberFormat="1" applyFont="1" applyFill="1" applyBorder="1" applyAlignment="1">
      <alignment horizontal="center" vertical="center" wrapText="1"/>
    </xf>
    <xf numFmtId="1" fontId="144" fillId="59" borderId="30" xfId="0" applyNumberFormat="1" applyFont="1" applyFill="1" applyBorder="1" applyAlignment="1">
      <alignment horizontal="center" vertical="center" wrapText="1"/>
    </xf>
    <xf numFmtId="1" fontId="154" fillId="11" borderId="40" xfId="0" applyNumberFormat="1" applyFont="1" applyFill="1" applyBorder="1" applyAlignment="1">
      <alignment horizontal="center" vertical="center" wrapText="1"/>
    </xf>
    <xf numFmtId="1" fontId="155" fillId="59" borderId="3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11" borderId="0" xfId="0" applyFont="1" applyFill="1" applyAlignment="1">
      <alignment horizontal="right"/>
    </xf>
    <xf numFmtId="0" fontId="2" fillId="59" borderId="0" xfId="0" applyFont="1" applyFill="1" applyAlignment="1">
      <alignment horizontal="right"/>
    </xf>
    <xf numFmtId="1" fontId="73" fillId="11" borderId="0" xfId="0" applyNumberFormat="1" applyFont="1" applyFill="1" applyAlignment="1">
      <alignment vertical="center" wrapText="1"/>
    </xf>
    <xf numFmtId="0" fontId="12" fillId="11" borderId="45" xfId="0" applyFont="1" applyFill="1" applyBorder="1" applyAlignment="1">
      <alignment horizontal="center" vertical="center" wrapText="1"/>
    </xf>
    <xf numFmtId="0" fontId="12" fillId="11" borderId="50" xfId="0" applyFont="1" applyFill="1" applyBorder="1" applyAlignment="1">
      <alignment vertical="center" wrapText="1"/>
    </xf>
    <xf numFmtId="188" fontId="12" fillId="11" borderId="62" xfId="0" applyNumberFormat="1" applyFont="1" applyFill="1" applyBorder="1" applyAlignment="1">
      <alignment horizontal="center" vertical="center" wrapText="1"/>
    </xf>
    <xf numFmtId="0" fontId="80" fillId="59" borderId="0" xfId="0" applyFont="1" applyFill="1" applyAlignment="1">
      <alignment/>
    </xf>
    <xf numFmtId="1" fontId="80" fillId="11" borderId="0" xfId="0" applyNumberFormat="1" applyFont="1" applyFill="1" applyAlignment="1">
      <alignment/>
    </xf>
    <xf numFmtId="3" fontId="80" fillId="11" borderId="0" xfId="0" applyNumberFormat="1" applyFont="1" applyFill="1" applyAlignment="1">
      <alignment/>
    </xf>
    <xf numFmtId="0" fontId="3" fillId="59" borderId="29" xfId="0" applyFont="1" applyFill="1" applyBorder="1" applyAlignment="1">
      <alignment horizontal="center" vertical="center" wrapText="1"/>
    </xf>
    <xf numFmtId="0" fontId="1" fillId="0" borderId="0" xfId="919" applyFont="1">
      <alignment/>
      <protection/>
    </xf>
    <xf numFmtId="0" fontId="156" fillId="0" borderId="0" xfId="919" applyFont="1">
      <alignment/>
      <protection/>
    </xf>
    <xf numFmtId="2" fontId="156" fillId="59" borderId="29" xfId="1507" applyNumberFormat="1" applyFont="1" applyFill="1" applyBorder="1" applyAlignment="1">
      <alignment vertical="center" wrapText="1"/>
      <protection/>
    </xf>
    <xf numFmtId="4" fontId="156" fillId="59" borderId="29" xfId="1507" applyNumberFormat="1" applyFont="1" applyFill="1" applyBorder="1">
      <alignment/>
      <protection/>
    </xf>
    <xf numFmtId="2" fontId="157" fillId="59" borderId="29" xfId="1507" applyNumberFormat="1" applyFont="1" applyFill="1" applyBorder="1" applyAlignment="1">
      <alignment vertical="center" wrapText="1"/>
      <protection/>
    </xf>
    <xf numFmtId="4" fontId="157" fillId="59" borderId="29" xfId="1507" applyNumberFormat="1" applyFont="1" applyFill="1" applyBorder="1" applyAlignment="1">
      <alignment vertical="center" wrapText="1"/>
      <protection/>
    </xf>
    <xf numFmtId="2" fontId="158" fillId="59" borderId="29" xfId="1507" applyNumberFormat="1" applyFont="1" applyFill="1" applyBorder="1" applyAlignment="1">
      <alignment horizontal="center" vertical="center" wrapText="1"/>
      <protection/>
    </xf>
    <xf numFmtId="0" fontId="156" fillId="0" borderId="0" xfId="919" applyFont="1" applyAlignment="1">
      <alignment horizontal="right"/>
      <protection/>
    </xf>
    <xf numFmtId="4" fontId="157" fillId="59" borderId="29" xfId="1507" applyNumberFormat="1" applyFont="1" applyFill="1" applyBorder="1">
      <alignment/>
      <protection/>
    </xf>
    <xf numFmtId="0" fontId="159" fillId="11" borderId="39" xfId="0" applyFont="1" applyFill="1" applyBorder="1" applyAlignment="1">
      <alignment horizontal="center" vertical="center" wrapText="1"/>
    </xf>
    <xf numFmtId="0" fontId="14" fillId="11" borderId="31" xfId="0" applyFont="1" applyFill="1" applyBorder="1" applyAlignment="1">
      <alignment vertical="center" wrapText="1"/>
    </xf>
    <xf numFmtId="0" fontId="11" fillId="11" borderId="30" xfId="0" applyFont="1" applyFill="1" applyBorder="1" applyAlignment="1">
      <alignment horizontal="center" vertical="center" wrapText="1"/>
    </xf>
    <xf numFmtId="0" fontId="77" fillId="11" borderId="0" xfId="0" applyFont="1" applyFill="1" applyBorder="1" applyAlignment="1">
      <alignment/>
    </xf>
    <xf numFmtId="0" fontId="12" fillId="0" borderId="30" xfId="0" applyFont="1" applyFill="1" applyBorder="1" applyAlignment="1">
      <alignment horizontal="center" vertical="center" wrapText="1"/>
    </xf>
    <xf numFmtId="0" fontId="145" fillId="11" borderId="49" xfId="0" applyFont="1" applyFill="1" applyBorder="1" applyAlignment="1">
      <alignment horizontal="center" vertical="center" wrapText="1"/>
    </xf>
    <xf numFmtId="0" fontId="145" fillId="11" borderId="49" xfId="0" applyFont="1" applyFill="1" applyBorder="1" applyAlignment="1">
      <alignment vertical="center" wrapText="1"/>
    </xf>
    <xf numFmtId="3" fontId="160" fillId="59" borderId="0" xfId="0" applyNumberFormat="1" applyFont="1" applyFill="1" applyAlignment="1">
      <alignment/>
    </xf>
    <xf numFmtId="49" fontId="2" fillId="0" borderId="62" xfId="2078" applyNumberFormat="1" applyFont="1" applyBorder="1" applyAlignment="1">
      <alignment horizontal="center" vertical="center"/>
      <protection/>
    </xf>
    <xf numFmtId="4" fontId="144" fillId="0" borderId="29" xfId="2078" applyNumberFormat="1" applyFont="1" applyBorder="1" applyAlignment="1">
      <alignment horizontal="right" vertical="center"/>
      <protection/>
    </xf>
    <xf numFmtId="4" fontId="161" fillId="15" borderId="29" xfId="0" applyNumberFormat="1" applyFont="1" applyFill="1" applyBorder="1" applyAlignment="1">
      <alignment horizontal="right" vertical="center"/>
    </xf>
    <xf numFmtId="49" fontId="2" fillId="0" borderId="29" xfId="2078" applyNumberFormat="1" applyFont="1" applyBorder="1" applyAlignment="1">
      <alignment horizontal="center" vertical="center"/>
      <protection/>
    </xf>
    <xf numFmtId="4" fontId="154" fillId="0" borderId="29" xfId="2078" applyNumberFormat="1" applyFont="1" applyBorder="1" applyAlignment="1">
      <alignment horizontal="right" vertical="center"/>
      <protection/>
    </xf>
    <xf numFmtId="0" fontId="154" fillId="0" borderId="29" xfId="2078" applyFont="1" applyBorder="1" applyAlignment="1">
      <alignment vertical="center"/>
      <protection/>
    </xf>
    <xf numFmtId="4" fontId="144" fillId="0" borderId="0" xfId="0" applyNumberFormat="1" applyFont="1" applyAlignment="1">
      <alignment/>
    </xf>
    <xf numFmtId="2" fontId="1" fillId="0" borderId="0" xfId="0" applyNumberFormat="1" applyFont="1" applyAlignment="1">
      <alignment vertical="center" wrapText="1"/>
    </xf>
    <xf numFmtId="0" fontId="81" fillId="0" borderId="29" xfId="0" applyFont="1" applyBorder="1" applyAlignment="1">
      <alignment vertical="center" wrapText="1"/>
    </xf>
    <xf numFmtId="49" fontId="2" fillId="0" borderId="29" xfId="1507" applyNumberFormat="1" applyFont="1" applyFill="1" applyBorder="1" applyAlignment="1">
      <alignment horizontal="center" vertical="center" wrapText="1"/>
      <protection/>
    </xf>
    <xf numFmtId="4" fontId="144" fillId="59" borderId="29" xfId="2078" applyNumberFormat="1" applyFont="1" applyFill="1" applyBorder="1" applyAlignment="1">
      <alignment horizontal="right" vertical="center"/>
      <protection/>
    </xf>
    <xf numFmtId="49" fontId="3" fillId="0" borderId="29" xfId="2078" applyNumberFormat="1" applyFont="1" applyBorder="1" applyAlignment="1">
      <alignment horizontal="center" vertical="center"/>
      <protection/>
    </xf>
    <xf numFmtId="0" fontId="154" fillId="0" borderId="0" xfId="0" applyFont="1" applyAlignment="1">
      <alignment/>
    </xf>
    <xf numFmtId="0" fontId="4" fillId="0" borderId="0" xfId="0" applyFont="1" applyAlignment="1">
      <alignment horizontal="right" wrapText="1"/>
    </xf>
    <xf numFmtId="3" fontId="12" fillId="11" borderId="62" xfId="0" applyNumberFormat="1" applyFont="1" applyFill="1" applyBorder="1" applyAlignment="1">
      <alignment horizontal="center" vertical="center" wrapText="1"/>
    </xf>
    <xf numFmtId="4" fontId="154" fillId="0" borderId="0" xfId="0" applyNumberFormat="1" applyFont="1" applyAlignment="1">
      <alignment wrapText="1"/>
    </xf>
    <xf numFmtId="4" fontId="144" fillId="0" borderId="0" xfId="0" applyNumberFormat="1" applyFont="1" applyAlignment="1">
      <alignment wrapText="1"/>
    </xf>
    <xf numFmtId="4" fontId="154" fillId="0" borderId="0" xfId="0" applyNumberFormat="1" applyFont="1" applyAlignment="1">
      <alignment/>
    </xf>
    <xf numFmtId="0" fontId="3" fillId="59" borderId="0" xfId="0" applyFont="1" applyFill="1" applyAlignment="1">
      <alignment horizontal="center" vertical="center" wrapText="1"/>
    </xf>
    <xf numFmtId="0" fontId="11" fillId="11" borderId="54" xfId="0" applyFont="1" applyFill="1" applyBorder="1" applyAlignment="1">
      <alignment horizontal="center" vertical="center" wrapText="1"/>
    </xf>
    <xf numFmtId="0" fontId="2" fillId="59" borderId="36" xfId="0" applyFont="1" applyFill="1" applyBorder="1" applyAlignment="1">
      <alignment horizontal="center" vertical="center" wrapText="1"/>
    </xf>
    <xf numFmtId="0" fontId="2" fillId="59" borderId="95" xfId="0" applyFont="1" applyFill="1" applyBorder="1" applyAlignment="1">
      <alignment horizontal="center" vertical="center" wrapText="1"/>
    </xf>
    <xf numFmtId="0" fontId="2" fillId="11" borderId="9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3" fontId="5" fillId="59" borderId="31" xfId="0" applyNumberFormat="1" applyFont="1" applyFill="1" applyBorder="1" applyAlignment="1">
      <alignment vertical="center" wrapText="1"/>
    </xf>
    <xf numFmtId="188" fontId="11" fillId="59" borderId="30" xfId="0" applyNumberFormat="1" applyFont="1" applyFill="1" applyBorder="1" applyAlignment="1">
      <alignment horizontal="center" vertical="center" wrapText="1"/>
    </xf>
    <xf numFmtId="1" fontId="146" fillId="11" borderId="32" xfId="0" applyNumberFormat="1" applyFont="1" applyFill="1" applyBorder="1" applyAlignment="1">
      <alignment horizontal="center" vertical="center" wrapText="1"/>
    </xf>
    <xf numFmtId="1" fontId="2" fillId="59" borderId="67" xfId="0" applyNumberFormat="1" applyFont="1" applyFill="1" applyBorder="1" applyAlignment="1">
      <alignment horizontal="center" vertical="center" wrapText="1"/>
    </xf>
    <xf numFmtId="1" fontId="2" fillId="59" borderId="58" xfId="0" applyNumberFormat="1" applyFont="1" applyFill="1" applyBorder="1" applyAlignment="1">
      <alignment horizontal="center" vertical="center" wrapText="1"/>
    </xf>
    <xf numFmtId="0" fontId="3" fillId="59" borderId="40" xfId="0" applyFont="1" applyFill="1" applyBorder="1" applyAlignment="1">
      <alignment horizontal="center" vertical="center" wrapText="1"/>
    </xf>
    <xf numFmtId="3" fontId="35" fillId="59" borderId="30" xfId="0" applyNumberFormat="1" applyFont="1" applyFill="1" applyBorder="1" applyAlignment="1">
      <alignment horizontal="center" vertical="center" wrapText="1"/>
    </xf>
    <xf numFmtId="3" fontId="35" fillId="59" borderId="71" xfId="0" applyNumberFormat="1" applyFont="1" applyFill="1" applyBorder="1" applyAlignment="1">
      <alignment horizontal="center" vertical="center" wrapText="1"/>
    </xf>
    <xf numFmtId="0" fontId="2" fillId="59" borderId="97" xfId="0" applyFont="1" applyFill="1" applyBorder="1" applyAlignment="1">
      <alignment horizontal="center" vertical="center" wrapText="1"/>
    </xf>
    <xf numFmtId="0" fontId="12" fillId="59" borderId="97" xfId="0" applyFont="1" applyFill="1" applyBorder="1" applyAlignment="1">
      <alignment horizontal="center" vertical="center" wrapText="1"/>
    </xf>
    <xf numFmtId="1" fontId="12" fillId="59" borderId="62" xfId="0" applyNumberFormat="1" applyFont="1" applyFill="1" applyBorder="1" applyAlignment="1">
      <alignment horizontal="center" vertical="center" wrapText="1"/>
    </xf>
    <xf numFmtId="188" fontId="2" fillId="59" borderId="29" xfId="0" applyNumberFormat="1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horizontal="center" vertical="center" wrapText="1"/>
    </xf>
    <xf numFmtId="0" fontId="150" fillId="0" borderId="77" xfId="0" applyFont="1" applyBorder="1" applyAlignment="1">
      <alignment/>
    </xf>
    <xf numFmtId="0" fontId="150" fillId="0" borderId="82" xfId="0" applyFont="1" applyBorder="1" applyAlignment="1">
      <alignment/>
    </xf>
    <xf numFmtId="0" fontId="152" fillId="57" borderId="78" xfId="0" applyFont="1" applyFill="1" applyBorder="1" applyAlignment="1">
      <alignment horizontal="right"/>
    </xf>
    <xf numFmtId="3" fontId="152" fillId="57" borderId="79" xfId="0" applyNumberFormat="1" applyFont="1" applyFill="1" applyBorder="1" applyAlignment="1">
      <alignment horizontal="center"/>
    </xf>
    <xf numFmtId="3" fontId="152" fillId="57" borderId="90" xfId="0" applyNumberFormat="1" applyFont="1" applyFill="1" applyBorder="1" applyAlignment="1">
      <alignment horizontal="center"/>
    </xf>
    <xf numFmtId="3" fontId="152" fillId="57" borderId="98" xfId="0" applyNumberFormat="1" applyFont="1" applyFill="1" applyBorder="1" applyAlignment="1">
      <alignment horizontal="center"/>
    </xf>
    <xf numFmtId="3" fontId="152" fillId="57" borderId="99" xfId="0" applyNumberFormat="1" applyFont="1" applyFill="1" applyBorder="1" applyAlignment="1">
      <alignment horizontal="center"/>
    </xf>
    <xf numFmtId="3" fontId="152" fillId="57" borderId="100" xfId="0" applyNumberFormat="1" applyFont="1" applyFill="1" applyBorder="1" applyAlignment="1">
      <alignment horizontal="center"/>
    </xf>
    <xf numFmtId="3" fontId="152" fillId="57" borderId="101" xfId="0" applyNumberFormat="1" applyFont="1" applyFill="1" applyBorder="1" applyAlignment="1">
      <alignment horizontal="center"/>
    </xf>
    <xf numFmtId="0" fontId="150" fillId="0" borderId="76" xfId="0" applyNumberFormat="1" applyFont="1" applyBorder="1" applyAlignment="1">
      <alignment vertical="center" wrapText="1"/>
    </xf>
    <xf numFmtId="3" fontId="162" fillId="0" borderId="0" xfId="0" applyNumberFormat="1" applyFont="1" applyAlignment="1">
      <alignment/>
    </xf>
    <xf numFmtId="0" fontId="163" fillId="57" borderId="102" xfId="0" applyFont="1" applyFill="1" applyBorder="1" applyAlignment="1">
      <alignment horizontal="center" vertical="center" wrapText="1"/>
    </xf>
    <xf numFmtId="3" fontId="163" fillId="0" borderId="62" xfId="0" applyNumberFormat="1" applyFont="1" applyBorder="1" applyAlignment="1">
      <alignment horizontal="center"/>
    </xf>
    <xf numFmtId="3" fontId="163" fillId="0" borderId="29" xfId="0" applyNumberFormat="1" applyFont="1" applyBorder="1" applyAlignment="1">
      <alignment horizontal="center"/>
    </xf>
    <xf numFmtId="3" fontId="163" fillId="0" borderId="63" xfId="0" applyNumberFormat="1" applyFont="1" applyBorder="1" applyAlignment="1">
      <alignment horizontal="center"/>
    </xf>
    <xf numFmtId="3" fontId="164" fillId="57" borderId="79" xfId="0" applyNumberFormat="1" applyFont="1" applyFill="1" applyBorder="1" applyAlignment="1">
      <alignment horizontal="center"/>
    </xf>
    <xf numFmtId="0" fontId="11" fillId="59" borderId="29" xfId="0" applyFont="1" applyFill="1" applyBorder="1" applyAlignment="1">
      <alignment vertical="center" wrapText="1"/>
    </xf>
    <xf numFmtId="3" fontId="11" fillId="0" borderId="29" xfId="0" applyNumberFormat="1" applyFont="1" applyBorder="1" applyAlignment="1">
      <alignment vertical="center" wrapText="1"/>
    </xf>
    <xf numFmtId="4" fontId="144" fillId="0" borderId="29" xfId="2078" applyNumberFormat="1" applyFont="1" applyBorder="1" applyAlignment="1">
      <alignment horizontal="center" vertical="center"/>
      <protection/>
    </xf>
    <xf numFmtId="0" fontId="84" fillId="11" borderId="62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3" fontId="7" fillId="59" borderId="63" xfId="0" applyNumberFormat="1" applyFont="1" applyFill="1" applyBorder="1" applyAlignment="1">
      <alignment horizontal="center" vertical="center" wrapText="1"/>
    </xf>
    <xf numFmtId="3" fontId="7" fillId="59" borderId="29" xfId="0" applyNumberFormat="1" applyFont="1" applyFill="1" applyBorder="1" applyAlignment="1">
      <alignment horizontal="center" vertical="center" wrapText="1"/>
    </xf>
    <xf numFmtId="3" fontId="69" fillId="59" borderId="69" xfId="0" applyNumberFormat="1" applyFont="1" applyFill="1" applyBorder="1" applyAlignment="1">
      <alignment horizontal="center" vertical="center" wrapText="1"/>
    </xf>
    <xf numFmtId="3" fontId="5" fillId="59" borderId="69" xfId="0" applyNumberFormat="1" applyFont="1" applyFill="1" applyBorder="1" applyAlignment="1">
      <alignment horizontal="center" vertical="center" wrapText="1"/>
    </xf>
    <xf numFmtId="3" fontId="4" fillId="17" borderId="62" xfId="0" applyNumberFormat="1" applyFont="1" applyFill="1" applyBorder="1" applyAlignment="1">
      <alignment horizontal="center" vertical="center" wrapText="1"/>
    </xf>
    <xf numFmtId="0" fontId="165" fillId="0" borderId="0" xfId="0" applyFont="1" applyAlignment="1">
      <alignment vertical="center" wrapText="1"/>
    </xf>
    <xf numFmtId="2" fontId="165" fillId="0" borderId="0" xfId="0" applyNumberFormat="1" applyFont="1" applyAlignment="1">
      <alignment vertical="center" wrapText="1"/>
    </xf>
    <xf numFmtId="0" fontId="166" fillId="0" borderId="0" xfId="0" applyFont="1" applyAlignment="1">
      <alignment vertical="center" wrapText="1"/>
    </xf>
    <xf numFmtId="2" fontId="166" fillId="0" borderId="0" xfId="0" applyNumberFormat="1" applyFont="1" applyAlignment="1">
      <alignment vertical="center" wrapText="1"/>
    </xf>
    <xf numFmtId="2" fontId="10" fillId="0" borderId="0" xfId="0" applyNumberFormat="1" applyFont="1" applyAlignment="1">
      <alignment vertical="center" wrapText="1"/>
    </xf>
    <xf numFmtId="2" fontId="85" fillId="0" borderId="0" xfId="0" applyNumberFormat="1" applyFont="1" applyAlignment="1">
      <alignment vertical="center" wrapText="1"/>
    </xf>
    <xf numFmtId="0" fontId="12" fillId="59" borderId="29" xfId="1507" applyFont="1" applyFill="1" applyBorder="1" applyAlignment="1">
      <alignment vertical="center" wrapText="1"/>
      <protection/>
    </xf>
    <xf numFmtId="3" fontId="35" fillId="59" borderId="29" xfId="1507" applyNumberFormat="1" applyFont="1" applyFill="1" applyBorder="1" applyAlignment="1">
      <alignment vertical="center" wrapText="1"/>
      <protection/>
    </xf>
    <xf numFmtId="0" fontId="3" fillId="0" borderId="29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Border="1" applyAlignment="1">
      <alignment horizontal="left" vertical="center" wrapText="1"/>
    </xf>
    <xf numFmtId="0" fontId="5" fillId="59" borderId="29" xfId="0" applyFont="1" applyFill="1" applyBorder="1" applyAlignment="1">
      <alignment/>
    </xf>
    <xf numFmtId="3" fontId="5" fillId="59" borderId="29" xfId="0" applyNumberFormat="1" applyFont="1" applyFill="1" applyBorder="1" applyAlignment="1">
      <alignment/>
    </xf>
    <xf numFmtId="0" fontId="3" fillId="0" borderId="69" xfId="0" applyFont="1" applyBorder="1" applyAlignment="1">
      <alignment/>
    </xf>
    <xf numFmtId="3" fontId="4" fillId="59" borderId="62" xfId="0" applyNumberFormat="1" applyFont="1" applyFill="1" applyBorder="1" applyAlignment="1">
      <alignment/>
    </xf>
    <xf numFmtId="3" fontId="4" fillId="59" borderId="0" xfId="0" applyNumberFormat="1" applyFont="1" applyFill="1" applyAlignment="1">
      <alignment/>
    </xf>
    <xf numFmtId="1" fontId="3" fillId="0" borderId="0" xfId="1425" applyNumberFormat="1" applyFont="1" applyAlignment="1">
      <alignment vertical="center" wrapText="1"/>
      <protection/>
    </xf>
    <xf numFmtId="4" fontId="2" fillId="0" borderId="0" xfId="1425" applyNumberFormat="1" applyFont="1" applyAlignment="1">
      <alignment vertical="center" wrapText="1"/>
      <protection/>
    </xf>
    <xf numFmtId="1" fontId="150" fillId="59" borderId="0" xfId="0" applyNumberFormat="1" applyFont="1" applyFill="1" applyAlignment="1">
      <alignment/>
    </xf>
    <xf numFmtId="191" fontId="167" fillId="0" borderId="0" xfId="1425" applyNumberFormat="1" applyFont="1" applyAlignment="1">
      <alignment vertical="center" wrapText="1"/>
      <protection/>
    </xf>
    <xf numFmtId="1" fontId="5" fillId="59" borderId="0" xfId="0" applyNumberFormat="1" applyFont="1" applyFill="1" applyAlignment="1">
      <alignment/>
    </xf>
    <xf numFmtId="0" fontId="168" fillId="59" borderId="0" xfId="0" applyFont="1" applyFill="1" applyAlignment="1">
      <alignment/>
    </xf>
    <xf numFmtId="3" fontId="149" fillId="59" borderId="0" xfId="0" applyNumberFormat="1" applyFont="1" applyFill="1" applyAlignment="1">
      <alignment/>
    </xf>
    <xf numFmtId="2" fontId="11" fillId="0" borderId="0" xfId="0" applyNumberFormat="1" applyFont="1" applyAlignment="1">
      <alignment vertical="center" wrapText="1"/>
    </xf>
    <xf numFmtId="3" fontId="2" fillId="59" borderId="29" xfId="1425" applyNumberFormat="1" applyFont="1" applyFill="1" applyBorder="1" applyAlignment="1">
      <alignment vertical="center" wrapText="1"/>
      <protection/>
    </xf>
    <xf numFmtId="3" fontId="150" fillId="59" borderId="29" xfId="0" applyNumberFormat="1" applyFont="1" applyFill="1" applyBorder="1" applyAlignment="1">
      <alignment/>
    </xf>
    <xf numFmtId="3" fontId="149" fillId="59" borderId="29" xfId="0" applyNumberFormat="1" applyFont="1" applyFill="1" applyBorder="1" applyAlignment="1">
      <alignment/>
    </xf>
    <xf numFmtId="0" fontId="5" fillId="11" borderId="77" xfId="0" applyFont="1" applyFill="1" applyBorder="1" applyAlignment="1">
      <alignment horizontal="left" vertical="center" wrapText="1"/>
    </xf>
    <xf numFmtId="0" fontId="152" fillId="59" borderId="0" xfId="0" applyFont="1" applyFill="1" applyAlignment="1">
      <alignment horizontal="right"/>
    </xf>
    <xf numFmtId="3" fontId="3" fillId="59" borderId="29" xfId="1425" applyNumberFormat="1" applyFont="1" applyFill="1" applyBorder="1" applyAlignment="1">
      <alignment vertical="center" wrapText="1"/>
      <protection/>
    </xf>
    <xf numFmtId="3" fontId="35" fillId="59" borderId="29" xfId="1425" applyNumberFormat="1" applyFont="1" applyFill="1" applyBorder="1" applyAlignment="1">
      <alignment vertical="center" wrapText="1"/>
      <protection/>
    </xf>
    <xf numFmtId="3" fontId="3" fillId="59" borderId="63" xfId="1425" applyNumberFormat="1" applyFont="1" applyFill="1" applyBorder="1" applyAlignment="1">
      <alignment vertical="center" wrapText="1"/>
      <protection/>
    </xf>
    <xf numFmtId="3" fontId="35" fillId="59" borderId="63" xfId="1425" applyNumberFormat="1" applyFont="1" applyFill="1" applyBorder="1" applyAlignment="1">
      <alignment vertical="center" wrapText="1"/>
      <protection/>
    </xf>
    <xf numFmtId="3" fontId="11" fillId="59" borderId="62" xfId="1425" applyNumberFormat="1" applyFont="1" applyFill="1" applyBorder="1" applyAlignment="1">
      <alignment vertical="center" wrapText="1"/>
      <protection/>
    </xf>
    <xf numFmtId="3" fontId="163" fillId="59" borderId="29" xfId="0" applyNumberFormat="1" applyFont="1" applyFill="1" applyBorder="1" applyAlignment="1">
      <alignment horizontal="center"/>
    </xf>
    <xf numFmtId="0" fontId="5" fillId="11" borderId="76" xfId="0" applyFont="1" applyFill="1" applyBorder="1" applyAlignment="1">
      <alignment horizontal="left" vertical="center" wrapText="1"/>
    </xf>
    <xf numFmtId="0" fontId="156" fillId="17" borderId="103" xfId="0" applyFont="1" applyFill="1" applyBorder="1" applyAlignment="1">
      <alignment horizontal="center" vertical="top" wrapText="1"/>
    </xf>
    <xf numFmtId="3" fontId="156" fillId="17" borderId="104" xfId="0" applyNumberFormat="1" applyFont="1" applyFill="1" applyBorder="1" applyAlignment="1">
      <alignment horizontal="center" vertical="top" wrapText="1"/>
    </xf>
    <xf numFmtId="3" fontId="4" fillId="0" borderId="90" xfId="0" applyNumberFormat="1" applyFont="1" applyBorder="1" applyAlignment="1">
      <alignment vertical="center" wrapText="1"/>
    </xf>
    <xf numFmtId="0" fontId="156" fillId="17" borderId="104" xfId="0" applyFont="1" applyFill="1" applyBorder="1" applyAlignment="1">
      <alignment horizontal="center" vertical="top" wrapText="1"/>
    </xf>
    <xf numFmtId="3" fontId="12" fillId="59" borderId="31" xfId="0" applyNumberFormat="1" applyFont="1" applyFill="1" applyBorder="1" applyAlignment="1">
      <alignment vertical="center" wrapText="1"/>
    </xf>
    <xf numFmtId="187" fontId="169" fillId="0" borderId="29" xfId="2902" applyFont="1" applyBorder="1" applyAlignment="1" applyProtection="1">
      <alignment horizontal="center" vertical="center" wrapText="1"/>
      <protection/>
    </xf>
    <xf numFmtId="0" fontId="5" fillId="0" borderId="78" xfId="0" applyFont="1" applyBorder="1" applyAlignment="1">
      <alignment vertical="center" wrapText="1"/>
    </xf>
    <xf numFmtId="3" fontId="5" fillId="11" borderId="79" xfId="0" applyNumberFormat="1" applyFont="1" applyFill="1" applyBorder="1" applyAlignment="1">
      <alignment vertical="center" wrapText="1"/>
    </xf>
    <xf numFmtId="3" fontId="5" fillId="59" borderId="90" xfId="0" applyNumberFormat="1" applyFont="1" applyFill="1" applyBorder="1" applyAlignment="1">
      <alignment vertical="center" wrapText="1"/>
    </xf>
    <xf numFmtId="1" fontId="5" fillId="0" borderId="89" xfId="0" applyNumberFormat="1" applyFont="1" applyBorder="1" applyAlignment="1">
      <alignment/>
    </xf>
    <xf numFmtId="0" fontId="5" fillId="0" borderId="89" xfId="0" applyFont="1" applyBorder="1" applyAlignment="1">
      <alignment/>
    </xf>
    <xf numFmtId="3" fontId="152" fillId="17" borderId="33" xfId="0" applyNumberFormat="1" applyFont="1" applyFill="1" applyBorder="1" applyAlignment="1">
      <alignment horizontal="center" vertical="top" wrapText="1"/>
    </xf>
    <xf numFmtId="0" fontId="146" fillId="0" borderId="76" xfId="0" applyFont="1" applyBorder="1" applyAlignment="1" applyProtection="1">
      <alignment horizontal="left" vertical="center" wrapText="1" indent="2"/>
      <protection locked="0"/>
    </xf>
    <xf numFmtId="0" fontId="4" fillId="0" borderId="80" xfId="0" applyFont="1" applyBorder="1" applyAlignment="1">
      <alignment vertical="center" wrapText="1"/>
    </xf>
    <xf numFmtId="1" fontId="4" fillId="0" borderId="102" xfId="0" applyNumberFormat="1" applyFont="1" applyBorder="1" applyAlignment="1">
      <alignment vertical="center" wrapText="1"/>
    </xf>
    <xf numFmtId="3" fontId="152" fillId="0" borderId="102" xfId="0" applyNumberFormat="1" applyFont="1" applyBorder="1" applyAlignment="1">
      <alignment vertical="center" wrapText="1"/>
    </xf>
    <xf numFmtId="3" fontId="152" fillId="0" borderId="105" xfId="0" applyNumberFormat="1" applyFont="1" applyBorder="1" applyAlignment="1">
      <alignment vertical="center" wrapText="1"/>
    </xf>
    <xf numFmtId="0" fontId="5" fillId="0" borderId="106" xfId="0" applyFont="1" applyFill="1" applyBorder="1" applyAlignment="1">
      <alignment vertical="center" wrapText="1"/>
    </xf>
    <xf numFmtId="3" fontId="4" fillId="0" borderId="104" xfId="0" applyNumberFormat="1" applyFont="1" applyBorder="1" applyAlignment="1">
      <alignment vertical="center" wrapText="1"/>
    </xf>
    <xf numFmtId="3" fontId="150" fillId="11" borderId="104" xfId="0" applyNumberFormat="1" applyFont="1" applyFill="1" applyBorder="1" applyAlignment="1">
      <alignment vertical="center" wrapText="1"/>
    </xf>
    <xf numFmtId="3" fontId="150" fillId="11" borderId="103" xfId="0" applyNumberFormat="1" applyFont="1" applyFill="1" applyBorder="1" applyAlignment="1">
      <alignment vertical="center" wrapText="1"/>
    </xf>
    <xf numFmtId="3" fontId="5" fillId="11" borderId="63" xfId="0" applyNumberFormat="1" applyFont="1" applyFill="1" applyBorder="1" applyAlignment="1">
      <alignment vertical="center" wrapText="1"/>
    </xf>
    <xf numFmtId="3" fontId="152" fillId="17" borderId="90" xfId="0" applyNumberFormat="1" applyFont="1" applyFill="1" applyBorder="1" applyAlignment="1">
      <alignment vertical="center" wrapText="1"/>
    </xf>
    <xf numFmtId="3" fontId="151" fillId="59" borderId="31" xfId="0" applyNumberFormat="1" applyFont="1" applyFill="1" applyBorder="1" applyAlignment="1">
      <alignment vertical="center" wrapText="1"/>
    </xf>
    <xf numFmtId="0" fontId="170" fillId="0" borderId="0" xfId="0" applyFont="1" applyAlignment="1">
      <alignment vertical="center" wrapText="1"/>
    </xf>
    <xf numFmtId="3" fontId="171" fillId="0" borderId="0" xfId="0" applyNumberFormat="1" applyFont="1" applyAlignment="1">
      <alignment vertical="center" wrapText="1"/>
    </xf>
    <xf numFmtId="0" fontId="171" fillId="0" borderId="0" xfId="0" applyFont="1" applyAlignment="1">
      <alignment vertical="center" wrapText="1"/>
    </xf>
    <xf numFmtId="0" fontId="2" fillId="59" borderId="29" xfId="0" applyFont="1" applyFill="1" applyBorder="1" applyAlignment="1">
      <alignment horizontal="center" vertical="center" wrapText="1"/>
    </xf>
    <xf numFmtId="0" fontId="2" fillId="59" borderId="31" xfId="0" applyFont="1" applyFill="1" applyBorder="1" applyAlignment="1">
      <alignment horizontal="center" vertical="center" wrapText="1"/>
    </xf>
    <xf numFmtId="0" fontId="172" fillId="59" borderId="0" xfId="0" applyFont="1" applyFill="1" applyAlignment="1">
      <alignment/>
    </xf>
    <xf numFmtId="0" fontId="152" fillId="17" borderId="62" xfId="0" applyFont="1" applyFill="1" applyBorder="1" applyAlignment="1">
      <alignment horizontal="center" vertical="top" wrapText="1"/>
    </xf>
    <xf numFmtId="187" fontId="1" fillId="0" borderId="86" xfId="2902" applyFont="1" applyBorder="1" applyAlignment="1" applyProtection="1">
      <alignment horizontal="center" vertical="center" wrapText="1"/>
      <protection/>
    </xf>
    <xf numFmtId="187" fontId="173" fillId="0" borderId="86" xfId="2902" applyFont="1" applyBorder="1" applyAlignment="1" applyProtection="1">
      <alignment horizontal="center" vertical="center" wrapText="1"/>
      <protection/>
    </xf>
    <xf numFmtId="3" fontId="4" fillId="17" borderId="85" xfId="0" applyNumberFormat="1" applyFont="1" applyFill="1" applyBorder="1" applyAlignment="1">
      <alignment horizontal="center" vertical="top" wrapText="1"/>
    </xf>
    <xf numFmtId="3" fontId="1" fillId="17" borderId="107" xfId="0" applyNumberFormat="1" applyFont="1" applyFill="1" applyBorder="1" applyAlignment="1">
      <alignment horizontal="center" vertical="top" wrapText="1"/>
    </xf>
    <xf numFmtId="3" fontId="12" fillId="59" borderId="86" xfId="0" applyNumberFormat="1" applyFont="1" applyFill="1" applyBorder="1" applyAlignment="1">
      <alignment vertical="center" wrapText="1"/>
    </xf>
    <xf numFmtId="3" fontId="5" fillId="59" borderId="86" xfId="0" applyNumberFormat="1" applyFont="1" applyFill="1" applyBorder="1" applyAlignment="1">
      <alignment vertical="center" wrapText="1"/>
    </xf>
    <xf numFmtId="3" fontId="12" fillId="59" borderId="87" xfId="0" applyNumberFormat="1" applyFont="1" applyFill="1" applyBorder="1" applyAlignment="1">
      <alignment vertical="center" wrapText="1"/>
    </xf>
    <xf numFmtId="3" fontId="5" fillId="11" borderId="87" xfId="0" applyNumberFormat="1" applyFont="1" applyFill="1" applyBorder="1" applyAlignment="1">
      <alignment vertical="center" wrapText="1"/>
    </xf>
    <xf numFmtId="3" fontId="4" fillId="0" borderId="87" xfId="0" applyNumberFormat="1" applyFont="1" applyBorder="1" applyAlignment="1">
      <alignment vertical="center" wrapText="1"/>
    </xf>
    <xf numFmtId="3" fontId="12" fillId="59" borderId="85" xfId="0" applyNumberFormat="1" applyFont="1" applyFill="1" applyBorder="1" applyAlignment="1">
      <alignment vertical="center" wrapText="1"/>
    </xf>
    <xf numFmtId="3" fontId="5" fillId="59" borderId="85" xfId="0" applyNumberFormat="1" applyFont="1" applyFill="1" applyBorder="1" applyAlignment="1">
      <alignment vertical="center" wrapText="1"/>
    </xf>
    <xf numFmtId="3" fontId="5" fillId="59" borderId="91" xfId="0" applyNumberFormat="1" applyFont="1" applyFill="1" applyBorder="1" applyAlignment="1">
      <alignment vertical="center" wrapText="1"/>
    </xf>
    <xf numFmtId="3" fontId="5" fillId="59" borderId="92" xfId="0" applyNumberFormat="1" applyFont="1" applyFill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187" fontId="1" fillId="0" borderId="108" xfId="2902" applyFont="1" applyBorder="1" applyAlignment="1" applyProtection="1">
      <alignment horizontal="center" vertical="center" wrapText="1"/>
      <protection/>
    </xf>
    <xf numFmtId="187" fontId="10" fillId="0" borderId="85" xfId="2902" applyFont="1" applyBorder="1" applyAlignment="1" applyProtection="1">
      <alignment horizontal="center" vertical="center" wrapText="1"/>
      <protection/>
    </xf>
    <xf numFmtId="187" fontId="1" fillId="0" borderId="109" xfId="2902" applyFont="1" applyBorder="1" applyAlignment="1" applyProtection="1">
      <alignment horizontal="center" vertical="center" wrapText="1"/>
      <protection/>
    </xf>
    <xf numFmtId="187" fontId="1" fillId="0" borderId="85" xfId="2902" applyFont="1" applyBorder="1" applyAlignment="1" applyProtection="1">
      <alignment horizontal="center" vertical="center" wrapText="1"/>
      <protection/>
    </xf>
    <xf numFmtId="187" fontId="1" fillId="0" borderId="89" xfId="2902" applyFont="1" applyBorder="1" applyAlignment="1" applyProtection="1">
      <alignment horizontal="center" vertical="center" wrapText="1"/>
      <protection/>
    </xf>
    <xf numFmtId="187" fontId="1" fillId="0" borderId="87" xfId="2902" applyFont="1" applyBorder="1" applyAlignment="1" applyProtection="1">
      <alignment horizontal="center" vertical="center" wrapText="1"/>
      <protection/>
    </xf>
    <xf numFmtId="187" fontId="10" fillId="0" borderId="87" xfId="2902" applyFont="1" applyBorder="1" applyAlignment="1" applyProtection="1">
      <alignment horizontal="center" vertical="center" wrapText="1"/>
      <protection/>
    </xf>
    <xf numFmtId="3" fontId="4" fillId="17" borderId="87" xfId="0" applyNumberFormat="1" applyFont="1" applyFill="1" applyBorder="1" applyAlignment="1">
      <alignment vertical="center" wrapText="1"/>
    </xf>
    <xf numFmtId="187" fontId="173" fillId="0" borderId="29" xfId="2902" applyFont="1" applyBorder="1" applyAlignment="1" applyProtection="1">
      <alignment horizontal="center" vertical="center" wrapText="1"/>
      <protection/>
    </xf>
    <xf numFmtId="0" fontId="4" fillId="0" borderId="83" xfId="0" applyFont="1" applyBorder="1" applyAlignment="1">
      <alignment vertical="center" wrapText="1"/>
    </xf>
    <xf numFmtId="3" fontId="152" fillId="0" borderId="84" xfId="0" applyNumberFormat="1" applyFont="1" applyBorder="1" applyAlignment="1">
      <alignment vertical="center" wrapText="1"/>
    </xf>
    <xf numFmtId="3" fontId="4" fillId="0" borderId="92" xfId="0" applyNumberFormat="1" applyFont="1" applyBorder="1" applyAlignment="1">
      <alignment vertical="center" wrapText="1"/>
    </xf>
    <xf numFmtId="3" fontId="5" fillId="0" borderId="110" xfId="0" applyNumberFormat="1" applyFont="1" applyBorder="1" applyAlignment="1">
      <alignment/>
    </xf>
    <xf numFmtId="0" fontId="5" fillId="0" borderId="110" xfId="0" applyFont="1" applyBorder="1" applyAlignment="1">
      <alignment/>
    </xf>
    <xf numFmtId="3" fontId="152" fillId="0" borderId="92" xfId="0" applyNumberFormat="1" applyFont="1" applyBorder="1" applyAlignment="1">
      <alignment vertical="center" wrapText="1"/>
    </xf>
    <xf numFmtId="3" fontId="5" fillId="59" borderId="62" xfId="0" applyNumberFormat="1" applyFont="1" applyFill="1" applyBorder="1" applyAlignment="1">
      <alignment horizontal="center"/>
    </xf>
    <xf numFmtId="3" fontId="5" fillId="59" borderId="33" xfId="0" applyNumberFormat="1" applyFont="1" applyFill="1" applyBorder="1" applyAlignment="1">
      <alignment horizontal="center"/>
    </xf>
    <xf numFmtId="3" fontId="5" fillId="59" borderId="29" xfId="0" applyNumberFormat="1" applyFont="1" applyFill="1" applyBorder="1" applyAlignment="1">
      <alignment horizontal="center"/>
    </xf>
    <xf numFmtId="3" fontId="5" fillId="59" borderId="31" xfId="0" applyNumberFormat="1" applyFont="1" applyFill="1" applyBorder="1" applyAlignment="1">
      <alignment horizontal="center"/>
    </xf>
    <xf numFmtId="3" fontId="5" fillId="59" borderId="63" xfId="0" applyNumberFormat="1" applyFont="1" applyFill="1" applyBorder="1" applyAlignment="1">
      <alignment horizontal="center"/>
    </xf>
    <xf numFmtId="0" fontId="144" fillId="0" borderId="0" xfId="0" applyFont="1" applyAlignment="1">
      <alignment horizontal="center"/>
    </xf>
    <xf numFmtId="2" fontId="161" fillId="0" borderId="0" xfId="0" applyNumberFormat="1" applyFont="1" applyAlignment="1">
      <alignment/>
    </xf>
    <xf numFmtId="2" fontId="144" fillId="0" borderId="0" xfId="0" applyNumberFormat="1" applyFont="1" applyAlignment="1">
      <alignment/>
    </xf>
    <xf numFmtId="2" fontId="154" fillId="0" borderId="0" xfId="0" applyNumberFormat="1" applyFont="1" applyAlignment="1">
      <alignment/>
    </xf>
    <xf numFmtId="4" fontId="174" fillId="0" borderId="0" xfId="0" applyNumberFormat="1" applyFont="1" applyAlignment="1">
      <alignment/>
    </xf>
    <xf numFmtId="0" fontId="174" fillId="0" borderId="0" xfId="0" applyFont="1" applyAlignment="1">
      <alignment/>
    </xf>
    <xf numFmtId="2" fontId="17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3" fillId="59" borderId="111" xfId="0" applyNumberFormat="1" applyFont="1" applyFill="1" applyBorder="1" applyAlignment="1">
      <alignment horizontal="center" vertical="center" wrapText="1"/>
    </xf>
    <xf numFmtId="0" fontId="2" fillId="11" borderId="53" xfId="0" applyFont="1" applyFill="1" applyBorder="1" applyAlignment="1">
      <alignment horizontal="center" vertical="center" wrapText="1"/>
    </xf>
    <xf numFmtId="0" fontId="11" fillId="59" borderId="30" xfId="0" applyFont="1" applyFill="1" applyBorder="1" applyAlignment="1">
      <alignment horizontal="center" vertical="center" wrapText="1"/>
    </xf>
    <xf numFmtId="187" fontId="1" fillId="0" borderId="29" xfId="2902" applyFont="1" applyBorder="1" applyAlignment="1" applyProtection="1">
      <alignment horizontal="center" vertical="center" wrapText="1"/>
      <protection/>
    </xf>
    <xf numFmtId="0" fontId="5" fillId="0" borderId="76" xfId="0" applyFont="1" applyBorder="1" applyAlignment="1" applyProtection="1">
      <alignment vertical="center" wrapText="1"/>
      <protection locked="0"/>
    </xf>
    <xf numFmtId="187" fontId="1" fillId="0" borderId="62" xfId="2902" applyFont="1" applyBorder="1" applyAlignment="1" applyProtection="1">
      <alignment horizontal="center" vertical="center" wrapText="1"/>
      <protection/>
    </xf>
    <xf numFmtId="0" fontId="5" fillId="0" borderId="80" xfId="0" applyFont="1" applyBorder="1" applyAlignment="1" applyProtection="1">
      <alignment vertical="center" wrapText="1"/>
      <protection locked="0"/>
    </xf>
    <xf numFmtId="3" fontId="4" fillId="0" borderId="102" xfId="0" applyNumberFormat="1" applyFont="1" applyFill="1" applyBorder="1" applyAlignment="1">
      <alignment vertical="center" wrapText="1"/>
    </xf>
    <xf numFmtId="3" fontId="5" fillId="59" borderId="102" xfId="0" applyNumberFormat="1" applyFont="1" applyFill="1" applyBorder="1" applyAlignment="1">
      <alignment vertical="center" wrapText="1"/>
    </xf>
    <xf numFmtId="0" fontId="14" fillId="0" borderId="80" xfId="0" applyFont="1" applyBorder="1" applyAlignment="1" applyProtection="1">
      <alignment vertical="center" wrapText="1"/>
      <protection locked="0"/>
    </xf>
    <xf numFmtId="3" fontId="14" fillId="0" borderId="102" xfId="0" applyNumberFormat="1" applyFont="1" applyFill="1" applyBorder="1" applyAlignment="1">
      <alignment vertical="center" wrapText="1"/>
    </xf>
    <xf numFmtId="3" fontId="3" fillId="59" borderId="112" xfId="0" applyNumberFormat="1" applyFont="1" applyFill="1" applyBorder="1" applyAlignment="1">
      <alignment horizontal="center" vertical="center" wrapText="1"/>
    </xf>
    <xf numFmtId="3" fontId="5" fillId="59" borderId="63" xfId="0" applyNumberFormat="1" applyFont="1" applyFill="1" applyBorder="1" applyAlignment="1">
      <alignment vertical="center" wrapText="1"/>
    </xf>
    <xf numFmtId="3" fontId="12" fillId="59" borderId="69" xfId="0" applyNumberFormat="1" applyFont="1" applyFill="1" applyBorder="1" applyAlignment="1">
      <alignment vertical="center" wrapText="1"/>
    </xf>
    <xf numFmtId="3" fontId="5" fillId="59" borderId="69" xfId="0" applyNumberFormat="1" applyFont="1" applyFill="1" applyBorder="1" applyAlignment="1">
      <alignment vertical="center" wrapText="1"/>
    </xf>
    <xf numFmtId="3" fontId="175" fillId="0" borderId="29" xfId="0" applyNumberFormat="1" applyFont="1" applyBorder="1" applyAlignment="1">
      <alignment horizontal="center"/>
    </xf>
    <xf numFmtId="189" fontId="5" fillId="0" borderId="0" xfId="0" applyNumberFormat="1" applyFont="1" applyAlignment="1">
      <alignment/>
    </xf>
    <xf numFmtId="187" fontId="166" fillId="0" borderId="86" xfId="2902" applyFont="1" applyBorder="1" applyAlignment="1" applyProtection="1">
      <alignment horizontal="center" vertical="center" wrapText="1"/>
      <protection/>
    </xf>
    <xf numFmtId="3" fontId="146" fillId="59" borderId="62" xfId="0" applyNumberFormat="1" applyFont="1" applyFill="1" applyBorder="1" applyAlignment="1">
      <alignment vertical="center" wrapText="1"/>
    </xf>
    <xf numFmtId="187" fontId="165" fillId="0" borderId="86" xfId="2902" applyFont="1" applyBorder="1" applyAlignment="1" applyProtection="1">
      <alignment horizontal="center" vertical="center" wrapText="1"/>
      <protection/>
    </xf>
    <xf numFmtId="3" fontId="5" fillId="11" borderId="104" xfId="0" applyNumberFormat="1" applyFont="1" applyFill="1" applyBorder="1" applyAlignment="1">
      <alignment vertical="center" wrapText="1"/>
    </xf>
    <xf numFmtId="3" fontId="5" fillId="11" borderId="103" xfId="0" applyNumberFormat="1" applyFont="1" applyFill="1" applyBorder="1" applyAlignment="1">
      <alignment vertical="center" wrapText="1"/>
    </xf>
    <xf numFmtId="0" fontId="3" fillId="0" borderId="76" xfId="1425" applyFont="1" applyBorder="1" applyAlignment="1">
      <alignment vertical="center" wrapText="1"/>
      <protection/>
    </xf>
    <xf numFmtId="0" fontId="153" fillId="0" borderId="76" xfId="0" applyFont="1" applyFill="1" applyBorder="1" applyAlignment="1">
      <alignment vertical="center" wrapText="1"/>
    </xf>
    <xf numFmtId="3" fontId="176" fillId="0" borderId="62" xfId="0" applyNumberFormat="1" applyFont="1" applyFill="1" applyBorder="1" applyAlignment="1">
      <alignment vertical="center" wrapText="1"/>
    </xf>
    <xf numFmtId="3" fontId="153" fillId="11" borderId="62" xfId="0" applyNumberFormat="1" applyFont="1" applyFill="1" applyBorder="1" applyAlignment="1">
      <alignment vertical="center" wrapText="1"/>
    </xf>
    <xf numFmtId="3" fontId="153" fillId="11" borderId="33" xfId="0" applyNumberFormat="1" applyFont="1" applyFill="1" applyBorder="1" applyAlignment="1">
      <alignment vertical="center" wrapText="1"/>
    </xf>
    <xf numFmtId="187" fontId="173" fillId="0" borderId="85" xfId="2902" applyFont="1" applyBorder="1" applyAlignment="1" applyProtection="1">
      <alignment horizontal="center" vertical="center" wrapText="1"/>
      <protection/>
    </xf>
    <xf numFmtId="0" fontId="176" fillId="0" borderId="80" xfId="0" applyFont="1" applyBorder="1" applyAlignment="1">
      <alignment vertical="center" wrapText="1"/>
    </xf>
    <xf numFmtId="1" fontId="176" fillId="0" borderId="102" xfId="0" applyNumberFormat="1" applyFont="1" applyBorder="1" applyAlignment="1">
      <alignment vertical="center" wrapText="1"/>
    </xf>
    <xf numFmtId="3" fontId="176" fillId="0" borderId="102" xfId="0" applyNumberFormat="1" applyFont="1" applyBorder="1" applyAlignment="1">
      <alignment vertical="center" wrapText="1"/>
    </xf>
    <xf numFmtId="3" fontId="176" fillId="0" borderId="105" xfId="0" applyNumberFormat="1" applyFont="1" applyBorder="1" applyAlignment="1">
      <alignment vertical="center" wrapText="1"/>
    </xf>
    <xf numFmtId="187" fontId="173" fillId="0" borderId="109" xfId="2902" applyFont="1" applyBorder="1" applyAlignment="1" applyProtection="1">
      <alignment horizontal="center" vertical="center" wrapText="1"/>
      <protection/>
    </xf>
    <xf numFmtId="0" fontId="174" fillId="11" borderId="29" xfId="0" applyFont="1" applyFill="1" applyBorder="1" applyAlignment="1">
      <alignment horizontal="center" vertical="center" wrapText="1"/>
    </xf>
    <xf numFmtId="0" fontId="174" fillId="11" borderId="28" xfId="0" applyFont="1" applyFill="1" applyBorder="1" applyAlignment="1">
      <alignment vertical="center" wrapText="1"/>
    </xf>
    <xf numFmtId="0" fontId="174" fillId="11" borderId="65" xfId="0" applyFont="1" applyFill="1" applyBorder="1" applyAlignment="1">
      <alignment horizontal="center" vertical="center" wrapText="1"/>
    </xf>
    <xf numFmtId="1" fontId="174" fillId="11" borderId="29" xfId="0" applyNumberFormat="1" applyFont="1" applyFill="1" applyBorder="1" applyAlignment="1">
      <alignment horizontal="center" vertical="center" wrapText="1"/>
    </xf>
    <xf numFmtId="1" fontId="174" fillId="11" borderId="74" xfId="0" applyNumberFormat="1" applyFont="1" applyFill="1" applyBorder="1" applyAlignment="1">
      <alignment horizontal="center" vertical="center" wrapText="1"/>
    </xf>
    <xf numFmtId="3" fontId="159" fillId="11" borderId="74" xfId="0" applyNumberFormat="1" applyFont="1" applyFill="1" applyBorder="1" applyAlignment="1">
      <alignment horizontal="center" vertical="center" wrapText="1"/>
    </xf>
    <xf numFmtId="0" fontId="174" fillId="11" borderId="51" xfId="0" applyFont="1" applyFill="1" applyBorder="1" applyAlignment="1">
      <alignment horizontal="center" vertical="center" wrapText="1"/>
    </xf>
    <xf numFmtId="0" fontId="159" fillId="11" borderId="51" xfId="0" applyFont="1" applyFill="1" applyBorder="1" applyAlignment="1">
      <alignment horizontal="left" vertical="center" wrapText="1"/>
    </xf>
    <xf numFmtId="3" fontId="159" fillId="11" borderId="14" xfId="0" applyNumberFormat="1" applyFont="1" applyFill="1" applyBorder="1" applyAlignment="1">
      <alignment horizontal="center" vertical="center" wrapText="1"/>
    </xf>
    <xf numFmtId="1" fontId="159" fillId="11" borderId="42" xfId="0" applyNumberFormat="1" applyFont="1" applyFill="1" applyBorder="1" applyAlignment="1">
      <alignment horizontal="center" vertical="center" wrapText="1"/>
    </xf>
    <xf numFmtId="0" fontId="159" fillId="11" borderId="59" xfId="0" applyFont="1" applyFill="1" applyBorder="1" applyAlignment="1">
      <alignment horizontal="center" vertical="center" wrapText="1"/>
    </xf>
    <xf numFmtId="3" fontId="12" fillId="59" borderId="102" xfId="0" applyNumberFormat="1" applyFont="1" applyFill="1" applyBorder="1" applyAlignment="1">
      <alignment vertical="center" wrapText="1"/>
    </xf>
    <xf numFmtId="3" fontId="12" fillId="59" borderId="109" xfId="0" applyNumberFormat="1" applyFont="1" applyFill="1" applyBorder="1" applyAlignment="1">
      <alignment vertical="center" wrapText="1"/>
    </xf>
    <xf numFmtId="0" fontId="14" fillId="0" borderId="77" xfId="0" applyFont="1" applyBorder="1" applyAlignment="1" applyProtection="1">
      <alignment vertical="center" wrapText="1"/>
      <protection locked="0"/>
    </xf>
    <xf numFmtId="3" fontId="14" fillId="0" borderId="29" xfId="0" applyNumberFormat="1" applyFont="1" applyFill="1" applyBorder="1" applyAlignment="1">
      <alignment vertical="center" wrapText="1"/>
    </xf>
    <xf numFmtId="3" fontId="146" fillId="59" borderId="29" xfId="0" applyNumberFormat="1" applyFont="1" applyFill="1" applyBorder="1" applyAlignment="1">
      <alignment vertical="center" wrapText="1"/>
    </xf>
    <xf numFmtId="0" fontId="177" fillId="59" borderId="0" xfId="0" applyFont="1" applyFill="1" applyAlignment="1">
      <alignment vertical="center" wrapText="1"/>
    </xf>
    <xf numFmtId="2" fontId="178" fillId="0" borderId="0" xfId="0" applyNumberFormat="1" applyFont="1" applyAlignment="1">
      <alignment vertical="center" wrapText="1"/>
    </xf>
    <xf numFmtId="0" fontId="2" fillId="60" borderId="29" xfId="2078" applyFont="1" applyFill="1" applyBorder="1" applyAlignment="1">
      <alignment vertical="center" wrapText="1"/>
      <protection/>
    </xf>
    <xf numFmtId="0" fontId="2" fillId="0" borderId="29" xfId="2078" applyFont="1" applyBorder="1" applyAlignment="1">
      <alignment vertical="center" wrapText="1"/>
      <protection/>
    </xf>
    <xf numFmtId="0" fontId="3" fillId="60" borderId="29" xfId="2078" applyFont="1" applyFill="1" applyBorder="1" applyAlignment="1">
      <alignment vertical="center" wrapText="1"/>
      <protection/>
    </xf>
    <xf numFmtId="190" fontId="1" fillId="0" borderId="0" xfId="0" applyNumberFormat="1" applyFont="1" applyAlignment="1">
      <alignment vertical="center" wrapText="1"/>
    </xf>
    <xf numFmtId="0" fontId="161" fillId="0" borderId="0" xfId="0" applyFont="1" applyAlignment="1">
      <alignment horizontal="center" vertical="center" wrapText="1"/>
    </xf>
    <xf numFmtId="1" fontId="11" fillId="59" borderId="30" xfId="0" applyNumberFormat="1" applyFont="1" applyFill="1" applyBorder="1" applyAlignment="1">
      <alignment horizontal="center" vertical="center" wrapText="1"/>
    </xf>
    <xf numFmtId="0" fontId="179" fillId="0" borderId="29" xfId="0" applyFont="1" applyBorder="1" applyAlignment="1">
      <alignment vertical="center" wrapText="1"/>
    </xf>
    <xf numFmtId="3" fontId="180" fillId="17" borderId="29" xfId="0" applyNumberFormat="1" applyFont="1" applyFill="1" applyBorder="1" applyAlignment="1">
      <alignment vertical="center" wrapText="1"/>
    </xf>
    <xf numFmtId="0" fontId="181" fillId="59" borderId="29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17" borderId="29" xfId="0" applyFont="1" applyFill="1" applyBorder="1" applyAlignment="1">
      <alignment vertical="center" wrapText="1"/>
    </xf>
    <xf numFmtId="0" fontId="181" fillId="17" borderId="29" xfId="855" applyFont="1" applyFill="1" applyBorder="1" applyAlignment="1" applyProtection="1">
      <alignment horizontal="center" vertical="center" wrapText="1"/>
      <protection/>
    </xf>
    <xf numFmtId="0" fontId="181" fillId="17" borderId="29" xfId="0" applyFont="1" applyFill="1" applyBorder="1" applyAlignment="1">
      <alignment horizontal="center" vertical="center" wrapText="1"/>
    </xf>
    <xf numFmtId="3" fontId="180" fillId="17" borderId="29" xfId="1507" applyNumberFormat="1" applyFont="1" applyFill="1" applyBorder="1" applyAlignment="1">
      <alignment vertical="center" wrapText="1"/>
      <protection/>
    </xf>
    <xf numFmtId="0" fontId="179" fillId="17" borderId="29" xfId="0" applyFont="1" applyFill="1" applyBorder="1" applyAlignment="1">
      <alignment vertical="center" wrapText="1"/>
    </xf>
    <xf numFmtId="0" fontId="179" fillId="59" borderId="29" xfId="0" applyFont="1" applyFill="1" applyBorder="1" applyAlignment="1">
      <alignment vertical="center" wrapText="1"/>
    </xf>
    <xf numFmtId="3" fontId="182" fillId="17" borderId="29" xfId="1507" applyNumberFormat="1" applyFont="1" applyFill="1" applyBorder="1" applyAlignment="1">
      <alignment vertical="center" wrapText="1"/>
      <protection/>
    </xf>
    <xf numFmtId="0" fontId="181" fillId="59" borderId="62" xfId="0" applyFont="1" applyFill="1" applyBorder="1" applyAlignment="1">
      <alignment horizontal="center" vertical="center" wrapText="1"/>
    </xf>
    <xf numFmtId="0" fontId="181" fillId="59" borderId="29" xfId="0" applyFont="1" applyFill="1" applyBorder="1" applyAlignment="1">
      <alignment horizontal="center" vertical="center" wrapText="1"/>
    </xf>
    <xf numFmtId="3" fontId="183" fillId="59" borderId="33" xfId="0" applyNumberFormat="1" applyFont="1" applyFill="1" applyBorder="1" applyAlignment="1">
      <alignment vertical="center" wrapText="1"/>
    </xf>
    <xf numFmtId="0" fontId="3" fillId="17" borderId="29" xfId="855" applyFont="1" applyFill="1" applyBorder="1" applyAlignment="1" applyProtection="1">
      <alignment horizontal="center" vertical="center" wrapText="1"/>
      <protection/>
    </xf>
    <xf numFmtId="0" fontId="35" fillId="17" borderId="29" xfId="0" applyFont="1" applyFill="1" applyBorder="1" applyAlignment="1">
      <alignment vertical="center" wrapText="1"/>
    </xf>
    <xf numFmtId="0" fontId="35" fillId="59" borderId="29" xfId="0" applyFont="1" applyFill="1" applyBorder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187" fontId="1" fillId="0" borderId="0" xfId="2902" applyFont="1" applyAlignment="1">
      <alignment vertical="center" wrapText="1"/>
    </xf>
    <xf numFmtId="187" fontId="9" fillId="0" borderId="0" xfId="2902" applyFont="1" applyAlignment="1">
      <alignment vertical="center" wrapText="1"/>
    </xf>
    <xf numFmtId="187" fontId="1" fillId="59" borderId="0" xfId="2902" applyFont="1" applyFill="1" applyAlignment="1">
      <alignment vertical="center" wrapText="1"/>
    </xf>
    <xf numFmtId="0" fontId="176" fillId="17" borderId="113" xfId="0" applyFont="1" applyFill="1" applyBorder="1" applyAlignment="1">
      <alignment horizontal="center" vertical="center" wrapText="1"/>
    </xf>
    <xf numFmtId="0" fontId="176" fillId="17" borderId="114" xfId="0" applyFont="1" applyFill="1" applyBorder="1" applyAlignment="1">
      <alignment horizontal="center" vertical="center" wrapText="1"/>
    </xf>
    <xf numFmtId="0" fontId="176" fillId="17" borderId="115" xfId="0" applyFont="1" applyFill="1" applyBorder="1" applyAlignment="1">
      <alignment horizontal="center" vertical="center" wrapText="1"/>
    </xf>
    <xf numFmtId="0" fontId="152" fillId="17" borderId="74" xfId="0" applyFont="1" applyFill="1" applyBorder="1" applyAlignment="1">
      <alignment horizontal="center" vertical="top" wrapText="1"/>
    </xf>
    <xf numFmtId="0" fontId="152" fillId="17" borderId="102" xfId="0" applyFont="1" applyFill="1" applyBorder="1" applyAlignment="1">
      <alignment horizontal="center" vertical="top" wrapText="1"/>
    </xf>
    <xf numFmtId="0" fontId="152" fillId="17" borderId="62" xfId="0" applyFont="1" applyFill="1" applyBorder="1" applyAlignment="1">
      <alignment horizontal="center" vertical="top" wrapText="1"/>
    </xf>
    <xf numFmtId="0" fontId="152" fillId="17" borderId="104" xfId="0" applyFont="1" applyFill="1" applyBorder="1" applyAlignment="1">
      <alignment horizontal="center" vertical="top" wrapText="1"/>
    </xf>
    <xf numFmtId="3" fontId="152" fillId="17" borderId="85" xfId="0" applyNumberFormat="1" applyFont="1" applyFill="1" applyBorder="1" applyAlignment="1">
      <alignment horizontal="center" vertical="top" wrapText="1"/>
    </xf>
    <xf numFmtId="3" fontId="152" fillId="17" borderId="108" xfId="0" applyNumberFormat="1" applyFont="1" applyFill="1" applyBorder="1" applyAlignment="1">
      <alignment horizontal="center" vertical="top" wrapText="1"/>
    </xf>
    <xf numFmtId="0" fontId="184" fillId="17" borderId="116" xfId="0" applyFont="1" applyFill="1" applyBorder="1" applyAlignment="1">
      <alignment horizontal="center" vertical="center" wrapText="1"/>
    </xf>
    <xf numFmtId="0" fontId="184" fillId="17" borderId="117" xfId="0" applyFont="1" applyFill="1" applyBorder="1" applyAlignment="1">
      <alignment horizontal="center" vertical="center" wrapText="1"/>
    </xf>
    <xf numFmtId="0" fontId="152" fillId="17" borderId="63" xfId="0" applyFont="1" applyFill="1" applyBorder="1" applyAlignment="1">
      <alignment horizontal="center" vertical="top" wrapText="1"/>
    </xf>
    <xf numFmtId="0" fontId="152" fillId="17" borderId="29" xfId="0" applyFont="1" applyFill="1" applyBorder="1" applyAlignment="1">
      <alignment horizontal="center" vertical="top" wrapText="1"/>
    </xf>
    <xf numFmtId="3" fontId="152" fillId="17" borderId="86" xfId="0" applyNumberFormat="1" applyFont="1" applyFill="1" applyBorder="1" applyAlignment="1">
      <alignment horizontal="center" vertical="top" wrapText="1"/>
    </xf>
    <xf numFmtId="0" fontId="4" fillId="17" borderId="118" xfId="0" applyFont="1" applyFill="1" applyBorder="1" applyAlignment="1">
      <alignment horizontal="center" vertical="center" wrapText="1"/>
    </xf>
    <xf numFmtId="0" fontId="4" fillId="17" borderId="74" xfId="0" applyFont="1" applyFill="1" applyBorder="1" applyAlignment="1">
      <alignment horizontal="center" vertical="center" wrapText="1"/>
    </xf>
    <xf numFmtId="0" fontId="4" fillId="17" borderId="102" xfId="0" applyFont="1" applyFill="1" applyBorder="1" applyAlignment="1">
      <alignment horizontal="center" vertical="center" wrapText="1"/>
    </xf>
    <xf numFmtId="3" fontId="4" fillId="17" borderId="85" xfId="0" applyNumberFormat="1" applyFont="1" applyFill="1" applyBorder="1" applyAlignment="1">
      <alignment horizontal="center" vertical="top" wrapText="1"/>
    </xf>
    <xf numFmtId="3" fontId="4" fillId="17" borderId="108" xfId="0" applyNumberFormat="1" applyFont="1" applyFill="1" applyBorder="1" applyAlignment="1">
      <alignment horizontal="center" vertical="top" wrapText="1"/>
    </xf>
    <xf numFmtId="0" fontId="5" fillId="59" borderId="0" xfId="0" applyFont="1" applyFill="1" applyAlignment="1">
      <alignment horizontal="center"/>
    </xf>
    <xf numFmtId="0" fontId="184" fillId="17" borderId="119" xfId="0" applyFont="1" applyFill="1" applyBorder="1" applyAlignment="1">
      <alignment horizontal="center" vertical="center" wrapText="1"/>
    </xf>
    <xf numFmtId="0" fontId="152" fillId="17" borderId="82" xfId="0" applyFont="1" applyFill="1" applyBorder="1" applyAlignment="1">
      <alignment horizontal="center" vertical="top" wrapText="1"/>
    </xf>
    <xf numFmtId="0" fontId="152" fillId="17" borderId="80" xfId="0" applyFont="1" applyFill="1" applyBorder="1" applyAlignment="1">
      <alignment horizontal="center" vertical="top" wrapText="1"/>
    </xf>
    <xf numFmtId="0" fontId="4" fillId="17" borderId="120" xfId="0" applyFont="1" applyFill="1" applyBorder="1" applyAlignment="1">
      <alignment horizontal="center" vertical="center" wrapText="1"/>
    </xf>
    <xf numFmtId="0" fontId="4" fillId="17" borderId="121" xfId="0" applyFont="1" applyFill="1" applyBorder="1" applyAlignment="1">
      <alignment horizontal="center" vertical="center" wrapText="1"/>
    </xf>
    <xf numFmtId="0" fontId="4" fillId="17" borderId="122" xfId="0" applyFont="1" applyFill="1" applyBorder="1" applyAlignment="1">
      <alignment horizontal="center" vertical="center" wrapText="1"/>
    </xf>
    <xf numFmtId="0" fontId="4" fillId="17" borderId="123" xfId="0" applyFont="1" applyFill="1" applyBorder="1" applyAlignment="1">
      <alignment horizontal="center" vertical="center" wrapText="1"/>
    </xf>
    <xf numFmtId="0" fontId="4" fillId="17" borderId="113" xfId="0" applyFont="1" applyFill="1" applyBorder="1" applyAlignment="1">
      <alignment horizontal="center" vertical="center" wrapText="1"/>
    </xf>
    <xf numFmtId="0" fontId="4" fillId="17" borderId="114" xfId="0" applyFont="1" applyFill="1" applyBorder="1" applyAlignment="1">
      <alignment horizontal="center" vertical="center" wrapText="1"/>
    </xf>
    <xf numFmtId="0" fontId="4" fillId="17" borderId="115" xfId="0" applyFont="1" applyFill="1" applyBorder="1" applyAlignment="1">
      <alignment horizontal="center" vertical="center" wrapText="1"/>
    </xf>
    <xf numFmtId="0" fontId="4" fillId="17" borderId="124" xfId="0" applyFont="1" applyFill="1" applyBorder="1" applyAlignment="1">
      <alignment horizontal="center" vertical="center" wrapText="1"/>
    </xf>
    <xf numFmtId="0" fontId="4" fillId="17" borderId="81" xfId="0" applyFont="1" applyFill="1" applyBorder="1" applyAlignment="1">
      <alignment horizontal="center" vertical="center" wrapText="1"/>
    </xf>
    <xf numFmtId="0" fontId="4" fillId="17" borderId="80" xfId="0" applyFont="1" applyFill="1" applyBorder="1" applyAlignment="1">
      <alignment horizontal="center" vertical="center" wrapText="1"/>
    </xf>
    <xf numFmtId="0" fontId="35" fillId="0" borderId="125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4" fillId="17" borderId="126" xfId="0" applyFont="1" applyFill="1" applyBorder="1" applyAlignment="1">
      <alignment horizontal="center" vertical="center" wrapText="1"/>
    </xf>
    <xf numFmtId="0" fontId="184" fillId="17" borderId="121" xfId="0" applyFont="1" applyFill="1" applyBorder="1" applyAlignment="1">
      <alignment horizontal="center" vertical="center" wrapText="1"/>
    </xf>
    <xf numFmtId="0" fontId="184" fillId="17" borderId="122" xfId="0" applyFont="1" applyFill="1" applyBorder="1" applyAlignment="1">
      <alignment horizontal="center" vertical="center" wrapText="1"/>
    </xf>
    <xf numFmtId="0" fontId="184" fillId="17" borderId="12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17" borderId="119" xfId="0" applyFont="1" applyFill="1" applyBorder="1" applyAlignment="1">
      <alignment horizontal="center" vertical="center" wrapText="1"/>
    </xf>
    <xf numFmtId="0" fontId="4" fillId="17" borderId="116" xfId="0" applyFont="1" applyFill="1" applyBorder="1" applyAlignment="1">
      <alignment horizontal="center" vertical="center" wrapText="1"/>
    </xf>
    <xf numFmtId="0" fontId="4" fillId="17" borderId="117" xfId="0" applyFont="1" applyFill="1" applyBorder="1" applyAlignment="1">
      <alignment horizontal="center" vertical="center" wrapText="1"/>
    </xf>
    <xf numFmtId="0" fontId="150" fillId="0" borderId="0" xfId="0" applyFont="1" applyAlignment="1">
      <alignment horizontal="center"/>
    </xf>
    <xf numFmtId="0" fontId="4" fillId="17" borderId="127" xfId="0" applyFont="1" applyFill="1" applyBorder="1" applyAlignment="1">
      <alignment horizontal="center" vertical="center" wrapText="1"/>
    </xf>
    <xf numFmtId="0" fontId="4" fillId="17" borderId="128" xfId="0" applyFont="1" applyFill="1" applyBorder="1" applyAlignment="1">
      <alignment horizontal="center" vertical="center" wrapText="1"/>
    </xf>
    <xf numFmtId="0" fontId="152" fillId="17" borderId="33" xfId="0" applyFont="1" applyFill="1" applyBorder="1" applyAlignment="1">
      <alignment horizontal="center" vertical="top" wrapText="1"/>
    </xf>
    <xf numFmtId="0" fontId="152" fillId="17" borderId="53" xfId="0" applyFont="1" applyFill="1" applyBorder="1" applyAlignment="1">
      <alignment horizontal="center" vertical="top" wrapText="1"/>
    </xf>
    <xf numFmtId="0" fontId="152" fillId="17" borderId="129" xfId="0" applyFont="1" applyFill="1" applyBorder="1" applyAlignment="1">
      <alignment horizontal="center" vertical="top" wrapText="1"/>
    </xf>
    <xf numFmtId="3" fontId="35" fillId="0" borderId="119" xfId="0" applyNumberFormat="1" applyFont="1" applyBorder="1" applyAlignment="1">
      <alignment horizontal="center" vertical="center" wrapText="1"/>
    </xf>
    <xf numFmtId="3" fontId="35" fillId="0" borderId="116" xfId="0" applyNumberFormat="1" applyFont="1" applyBorder="1" applyAlignment="1">
      <alignment horizontal="center" vertical="center" wrapText="1"/>
    </xf>
    <xf numFmtId="0" fontId="152" fillId="17" borderId="130" xfId="0" applyFont="1" applyFill="1" applyBorder="1" applyAlignment="1">
      <alignment horizontal="center" vertical="center" wrapText="1"/>
    </xf>
    <xf numFmtId="0" fontId="152" fillId="17" borderId="114" xfId="0" applyFont="1" applyFill="1" applyBorder="1" applyAlignment="1">
      <alignment horizontal="center" vertical="center" wrapText="1"/>
    </xf>
    <xf numFmtId="0" fontId="152" fillId="17" borderId="115" xfId="0" applyFont="1" applyFill="1" applyBorder="1" applyAlignment="1">
      <alignment horizontal="center" vertical="center" wrapText="1"/>
    </xf>
    <xf numFmtId="0" fontId="4" fillId="17" borderId="62" xfId="0" applyFont="1" applyFill="1" applyBorder="1" applyAlignment="1">
      <alignment horizontal="center" vertical="center" wrapText="1"/>
    </xf>
    <xf numFmtId="0" fontId="152" fillId="59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49" fillId="0" borderId="0" xfId="0" applyFont="1" applyAlignment="1">
      <alignment horizontal="center" vertical="center" wrapText="1"/>
    </xf>
    <xf numFmtId="0" fontId="2" fillId="17" borderId="63" xfId="1425" applyFont="1" applyFill="1" applyBorder="1" applyAlignment="1">
      <alignment horizontal="center" vertical="center" wrapText="1"/>
      <protection/>
    </xf>
    <xf numFmtId="0" fontId="2" fillId="17" borderId="62" xfId="142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49" fillId="0" borderId="0" xfId="1425" applyFont="1" applyAlignment="1">
      <alignment horizontal="center" vertical="center" wrapText="1"/>
      <protection/>
    </xf>
    <xf numFmtId="0" fontId="2" fillId="17" borderId="74" xfId="1425" applyFont="1" applyFill="1" applyBorder="1" applyAlignment="1">
      <alignment horizontal="center" vertical="center" wrapText="1"/>
      <protection/>
    </xf>
    <xf numFmtId="0" fontId="3" fillId="17" borderId="63" xfId="1425" applyFont="1" applyFill="1" applyBorder="1" applyAlignment="1">
      <alignment horizontal="center" vertical="center" wrapText="1"/>
      <protection/>
    </xf>
    <xf numFmtId="0" fontId="3" fillId="17" borderId="74" xfId="1425" applyFont="1" applyFill="1" applyBorder="1" applyAlignment="1">
      <alignment horizontal="center" vertical="center" wrapText="1"/>
      <protection/>
    </xf>
    <xf numFmtId="0" fontId="3" fillId="17" borderId="62" xfId="1425" applyFont="1" applyFill="1" applyBorder="1" applyAlignment="1">
      <alignment horizontal="center" vertical="center" wrapText="1"/>
      <protection/>
    </xf>
    <xf numFmtId="0" fontId="2" fillId="17" borderId="29" xfId="1425" applyFont="1" applyFill="1" applyBorder="1" applyAlignment="1">
      <alignment horizontal="center" vertical="center" wrapText="1"/>
      <protection/>
    </xf>
    <xf numFmtId="0" fontId="152" fillId="57" borderId="131" xfId="0" applyFont="1" applyFill="1" applyBorder="1" applyAlignment="1">
      <alignment horizontal="center" vertical="center" wrapText="1"/>
    </xf>
    <xf numFmtId="0" fontId="152" fillId="57" borderId="132" xfId="0" applyFont="1" applyFill="1" applyBorder="1" applyAlignment="1">
      <alignment horizontal="center" vertical="center" wrapText="1"/>
    </xf>
    <xf numFmtId="0" fontId="149" fillId="0" borderId="0" xfId="0" applyFont="1" applyAlignment="1">
      <alignment horizontal="center"/>
    </xf>
    <xf numFmtId="0" fontId="150" fillId="57" borderId="124" xfId="0" applyFont="1" applyFill="1" applyBorder="1" applyAlignment="1">
      <alignment horizontal="center" vertical="center" wrapText="1"/>
    </xf>
    <xf numFmtId="0" fontId="150" fillId="57" borderId="80" xfId="0" applyFont="1" applyFill="1" applyBorder="1" applyAlignment="1">
      <alignment horizontal="center" vertical="center" wrapText="1"/>
    </xf>
    <xf numFmtId="0" fontId="156" fillId="57" borderId="120" xfId="0" applyFont="1" applyFill="1" applyBorder="1" applyAlignment="1">
      <alignment horizontal="center" vertical="center" wrapText="1"/>
    </xf>
    <xf numFmtId="0" fontId="156" fillId="57" borderId="102" xfId="0" applyFont="1" applyFill="1" applyBorder="1" applyAlignment="1">
      <alignment horizontal="center" vertical="center" wrapText="1"/>
    </xf>
    <xf numFmtId="0" fontId="156" fillId="57" borderId="130" xfId="0" applyFont="1" applyFill="1" applyBorder="1" applyAlignment="1">
      <alignment horizontal="center" vertical="center" wrapText="1"/>
    </xf>
    <xf numFmtId="0" fontId="156" fillId="57" borderId="114" xfId="0" applyFont="1" applyFill="1" applyBorder="1" applyAlignment="1">
      <alignment horizontal="center" vertical="center" wrapText="1"/>
    </xf>
    <xf numFmtId="0" fontId="156" fillId="57" borderId="115" xfId="0" applyFont="1" applyFill="1" applyBorder="1" applyAlignment="1">
      <alignment horizontal="center" vertical="center" wrapText="1"/>
    </xf>
    <xf numFmtId="0" fontId="16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61" fillId="59" borderId="0" xfId="0" applyFont="1" applyFill="1" applyAlignment="1">
      <alignment horizontal="center" vertical="center" wrapText="1"/>
    </xf>
    <xf numFmtId="0" fontId="3" fillId="17" borderId="133" xfId="0" applyFont="1" applyFill="1" applyBorder="1" applyAlignment="1">
      <alignment horizontal="center" vertical="center" wrapText="1"/>
    </xf>
    <xf numFmtId="0" fontId="3" fillId="17" borderId="5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1" fontId="146" fillId="11" borderId="37" xfId="0" applyNumberFormat="1" applyFont="1" applyFill="1" applyBorder="1" applyAlignment="1">
      <alignment horizontal="center" vertical="center" wrapText="1"/>
    </xf>
    <xf numFmtId="1" fontId="146" fillId="11" borderId="67" xfId="0" applyNumberFormat="1" applyFont="1" applyFill="1" applyBorder="1" applyAlignment="1">
      <alignment horizontal="center" vertical="center" wrapText="1"/>
    </xf>
    <xf numFmtId="1" fontId="146" fillId="11" borderId="32" xfId="0" applyNumberFormat="1" applyFont="1" applyFill="1" applyBorder="1" applyAlignment="1">
      <alignment horizontal="center" vertical="center" wrapText="1"/>
    </xf>
    <xf numFmtId="0" fontId="159" fillId="17" borderId="133" xfId="0" applyFont="1" applyFill="1" applyBorder="1" applyAlignment="1">
      <alignment horizontal="center" vertical="center" wrapText="1"/>
    </xf>
    <xf numFmtId="0" fontId="159" fillId="17" borderId="57" xfId="0" applyFont="1" applyFill="1" applyBorder="1" applyAlignment="1">
      <alignment horizontal="center" vertical="center" wrapText="1"/>
    </xf>
    <xf numFmtId="0" fontId="3" fillId="59" borderId="0" xfId="0" applyFont="1" applyFill="1" applyAlignment="1">
      <alignment horizontal="center" vertical="center" wrapText="1"/>
    </xf>
    <xf numFmtId="0" fontId="161" fillId="11" borderId="0" xfId="0" applyFont="1" applyFill="1" applyAlignment="1">
      <alignment horizontal="center" vertical="center" wrapText="1"/>
    </xf>
    <xf numFmtId="0" fontId="3" fillId="17" borderId="66" xfId="0" applyFont="1" applyFill="1" applyBorder="1" applyAlignment="1">
      <alignment horizontal="center" vertical="top" wrapText="1"/>
    </xf>
    <xf numFmtId="0" fontId="3" fillId="17" borderId="134" xfId="0" applyFont="1" applyFill="1" applyBorder="1" applyAlignment="1">
      <alignment horizontal="center" vertical="top" wrapText="1"/>
    </xf>
    <xf numFmtId="0" fontId="3" fillId="17" borderId="28" xfId="0" applyFont="1" applyFill="1" applyBorder="1" applyAlignment="1">
      <alignment horizontal="center" vertical="top" wrapText="1"/>
    </xf>
    <xf numFmtId="0" fontId="3" fillId="17" borderId="39" xfId="0" applyFont="1" applyFill="1" applyBorder="1" applyAlignment="1">
      <alignment horizontal="center" vertical="top" wrapText="1"/>
    </xf>
    <xf numFmtId="0" fontId="4" fillId="17" borderId="135" xfId="0" applyFont="1" applyFill="1" applyBorder="1" applyAlignment="1">
      <alignment horizontal="center" vertical="top" wrapText="1"/>
    </xf>
    <xf numFmtId="0" fontId="4" fillId="17" borderId="136" xfId="0" applyFont="1" applyFill="1" applyBorder="1" applyAlignment="1">
      <alignment horizontal="center" vertical="top" wrapText="1"/>
    </xf>
    <xf numFmtId="0" fontId="3" fillId="17" borderId="64" xfId="0" applyFont="1" applyFill="1" applyBorder="1" applyAlignment="1">
      <alignment horizontal="center" vertical="top" wrapText="1"/>
    </xf>
    <xf numFmtId="0" fontId="3" fillId="17" borderId="112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71" fillId="0" borderId="0" xfId="0" applyFont="1" applyBorder="1" applyAlignment="1">
      <alignment horizontal="center"/>
    </xf>
    <xf numFmtId="0" fontId="2" fillId="17" borderId="29" xfId="855" applyFont="1" applyFill="1" applyBorder="1" applyAlignment="1" applyProtection="1">
      <alignment horizontal="center" vertical="center" wrapText="1"/>
      <protection/>
    </xf>
    <xf numFmtId="0" fontId="3" fillId="17" borderId="29" xfId="855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right" vertical="center" wrapText="1"/>
    </xf>
    <xf numFmtId="0" fontId="3" fillId="17" borderId="29" xfId="0" applyFont="1" applyFill="1" applyBorder="1" applyAlignment="1">
      <alignment horizontal="center" vertical="center" wrapText="1"/>
    </xf>
    <xf numFmtId="0" fontId="3" fillId="17" borderId="29" xfId="855" applyFont="1" applyFill="1" applyBorder="1" applyAlignment="1" applyProtection="1">
      <alignment horizontal="center" vertical="center" wrapText="1"/>
      <protection/>
    </xf>
    <xf numFmtId="0" fontId="180" fillId="17" borderId="29" xfId="855" applyFont="1" applyFill="1" applyBorder="1" applyAlignment="1" applyProtection="1">
      <alignment horizontal="center" vertical="top" wrapText="1"/>
      <protection/>
    </xf>
    <xf numFmtId="0" fontId="181" fillId="17" borderId="29" xfId="855" applyFont="1" applyFill="1" applyBorder="1" applyAlignment="1" applyProtection="1">
      <alignment horizontal="center" vertical="center" wrapText="1"/>
      <protection/>
    </xf>
    <xf numFmtId="0" fontId="2" fillId="17" borderId="29" xfId="0" applyFont="1" applyFill="1" applyBorder="1" applyAlignment="1">
      <alignment horizontal="center" vertical="center" wrapText="1"/>
    </xf>
    <xf numFmtId="0" fontId="6" fillId="17" borderId="29" xfId="855" applyFont="1" applyFill="1" applyBorder="1" applyAlignment="1" applyProtection="1">
      <alignment horizontal="center" vertical="center" wrapText="1"/>
      <protection/>
    </xf>
    <xf numFmtId="0" fontId="185" fillId="0" borderId="0" xfId="0" applyFont="1" applyAlignment="1">
      <alignment horizontal="center" vertical="center" wrapText="1"/>
    </xf>
    <xf numFmtId="0" fontId="154" fillId="0" borderId="63" xfId="2078" applyFont="1" applyBorder="1" applyAlignment="1">
      <alignment horizontal="center" vertical="center" wrapText="1"/>
      <protection/>
    </xf>
    <xf numFmtId="0" fontId="154" fillId="0" borderId="62" xfId="2078" applyFont="1" applyBorder="1" applyAlignment="1">
      <alignment horizontal="center" vertical="center" wrapText="1"/>
      <protection/>
    </xf>
    <xf numFmtId="0" fontId="154" fillId="60" borderId="29" xfId="2078" applyFont="1" applyFill="1" applyBorder="1" applyAlignment="1">
      <alignment horizontal="center" vertical="center" wrapText="1"/>
      <protection/>
    </xf>
    <xf numFmtId="0" fontId="157" fillId="0" borderId="29" xfId="2078" applyFont="1" applyBorder="1" applyAlignment="1">
      <alignment horizontal="center" vertical="center" wrapText="1"/>
      <protection/>
    </xf>
    <xf numFmtId="0" fontId="171" fillId="15" borderId="29" xfId="2078" applyFont="1" applyFill="1" applyBorder="1" applyAlignment="1">
      <alignment horizontal="center" vertical="center" wrapText="1"/>
      <protection/>
    </xf>
    <xf numFmtId="0" fontId="10" fillId="0" borderId="29" xfId="2078" applyFont="1" applyBorder="1" applyAlignment="1">
      <alignment horizontal="center" vertical="center" wrapText="1"/>
      <protection/>
    </xf>
    <xf numFmtId="2" fontId="156" fillId="59" borderId="29" xfId="1507" applyNumberFormat="1" applyFont="1" applyFill="1" applyBorder="1" applyAlignment="1">
      <alignment horizontal="center" vertical="center" wrapText="1"/>
      <protection/>
    </xf>
    <xf numFmtId="0" fontId="68" fillId="0" borderId="0" xfId="919" applyFont="1" applyAlignment="1">
      <alignment horizontal="center" vertical="center" wrapText="1"/>
      <protection/>
    </xf>
    <xf numFmtId="0" fontId="150" fillId="0" borderId="0" xfId="919" applyFont="1" applyAlignment="1">
      <alignment horizontal="center" vertical="center" wrapText="1"/>
      <protection/>
    </xf>
    <xf numFmtId="2" fontId="158" fillId="59" borderId="31" xfId="1507" applyNumberFormat="1" applyFont="1" applyFill="1" applyBorder="1" applyAlignment="1">
      <alignment horizontal="center" vertical="center" wrapText="1"/>
      <protection/>
    </xf>
    <xf numFmtId="2" fontId="158" fillId="59" borderId="94" xfId="1507" applyNumberFormat="1" applyFont="1" applyFill="1" applyBorder="1" applyAlignment="1">
      <alignment horizontal="center" vertical="center" wrapText="1"/>
      <protection/>
    </xf>
    <xf numFmtId="2" fontId="158" fillId="59" borderId="65" xfId="1507" applyNumberFormat="1" applyFont="1" applyFill="1" applyBorder="1" applyAlignment="1">
      <alignment horizontal="center" vertical="center" wrapText="1"/>
      <protection/>
    </xf>
    <xf numFmtId="2" fontId="186" fillId="59" borderId="63" xfId="1507" applyNumberFormat="1" applyFont="1" applyFill="1" applyBorder="1" applyAlignment="1">
      <alignment horizontal="center" vertical="center" wrapText="1"/>
      <protection/>
    </xf>
    <xf numFmtId="2" fontId="186" fillId="59" borderId="62" xfId="1507" applyNumberFormat="1" applyFont="1" applyFill="1" applyBorder="1" applyAlignment="1">
      <alignment horizontal="center" vertical="center" wrapText="1"/>
      <protection/>
    </xf>
  </cellXfs>
  <cellStyles count="304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— акцент1" xfId="25"/>
    <cellStyle name="20% - Акцент1 10" xfId="26"/>
    <cellStyle name="20% - Акцент1 11" xfId="27"/>
    <cellStyle name="20% - Акцент1 12" xfId="28"/>
    <cellStyle name="20% - Акцент1 13" xfId="29"/>
    <cellStyle name="20% - Акцент1 14" xfId="30"/>
    <cellStyle name="20% - Акцент1 15" xfId="31"/>
    <cellStyle name="20% - Акцент1 16" xfId="32"/>
    <cellStyle name="20% - Акцент1 17" xfId="33"/>
    <cellStyle name="20% - Акцент1 18" xfId="34"/>
    <cellStyle name="20% - Акцент1 19" xfId="35"/>
    <cellStyle name="20% - Акцент1 2" xfId="36"/>
    <cellStyle name="20% - Акцент1 2 2" xfId="37"/>
    <cellStyle name="20% - Акцент1 2 2 2" xfId="38"/>
    <cellStyle name="20% - Акцент1 2 2 2 2" xfId="39"/>
    <cellStyle name="20% - Акцент1 2 2 3" xfId="40"/>
    <cellStyle name="20% - Акцент1 2 2 4" xfId="41"/>
    <cellStyle name="20% - Акцент1 2 3" xfId="42"/>
    <cellStyle name="20% - Акцент1 2 3 2" xfId="43"/>
    <cellStyle name="20% - Акцент1 2 3 3" xfId="44"/>
    <cellStyle name="20% - Акцент1 2 3 4" xfId="45"/>
    <cellStyle name="20% - Акцент1 2 4" xfId="46"/>
    <cellStyle name="20% - Акцент1 2 4 2" xfId="47"/>
    <cellStyle name="20% - Акцент1 2 4 3" xfId="48"/>
    <cellStyle name="20% - Акцент1 2 5" xfId="49"/>
    <cellStyle name="20% - Акцент1 20" xfId="50"/>
    <cellStyle name="20% - Акцент1 21" xfId="51"/>
    <cellStyle name="20% - Акцент1 22" xfId="52"/>
    <cellStyle name="20% - Акцент1 3" xfId="53"/>
    <cellStyle name="20% - Акцент1 3 2" xfId="54"/>
    <cellStyle name="20% - Акцент1 3 3" xfId="55"/>
    <cellStyle name="20% - Акцент1 3 4" xfId="56"/>
    <cellStyle name="20% - Акцент1 3 5" xfId="57"/>
    <cellStyle name="20% - Акцент1 4" xfId="58"/>
    <cellStyle name="20% - Акцент1 4 2" xfId="59"/>
    <cellStyle name="20% - Акцент1 4 3" xfId="60"/>
    <cellStyle name="20% - Акцент1 5" xfId="61"/>
    <cellStyle name="20% - Акцент1 5 2" xfId="62"/>
    <cellStyle name="20% - Акцент1 5 3" xfId="63"/>
    <cellStyle name="20% - Акцент1 6" xfId="64"/>
    <cellStyle name="20% - Акцент1 6 2" xfId="65"/>
    <cellStyle name="20% - Акцент1 6 3" xfId="66"/>
    <cellStyle name="20% - Акцент1 7" xfId="67"/>
    <cellStyle name="20% - Акцент1 7 2" xfId="68"/>
    <cellStyle name="20% - Акцент1 7 3" xfId="69"/>
    <cellStyle name="20% - Акцент1 8" xfId="70"/>
    <cellStyle name="20% - Акцент1 8 2" xfId="71"/>
    <cellStyle name="20% - Акцент1 9" xfId="72"/>
    <cellStyle name="20% - Акцент1 9 2" xfId="73"/>
    <cellStyle name="20% — акцент2" xfId="74"/>
    <cellStyle name="20% - Акцент2 10" xfId="75"/>
    <cellStyle name="20% - Акцент2 11" xfId="76"/>
    <cellStyle name="20% - Акцент2 12" xfId="77"/>
    <cellStyle name="20% - Акцент2 13" xfId="78"/>
    <cellStyle name="20% - Акцент2 14" xfId="79"/>
    <cellStyle name="20% - Акцент2 15" xfId="80"/>
    <cellStyle name="20% - Акцент2 16" xfId="81"/>
    <cellStyle name="20% - Акцент2 17" xfId="82"/>
    <cellStyle name="20% - Акцент2 18" xfId="83"/>
    <cellStyle name="20% - Акцент2 19" xfId="84"/>
    <cellStyle name="20% - Акцент2 2" xfId="85"/>
    <cellStyle name="20% - Акцент2 2 2" xfId="86"/>
    <cellStyle name="20% - Акцент2 2 2 2" xfId="87"/>
    <cellStyle name="20% - Акцент2 2 2 2 2" xfId="88"/>
    <cellStyle name="20% - Акцент2 2 2 3" xfId="89"/>
    <cellStyle name="20% - Акцент2 2 2 4" xfId="90"/>
    <cellStyle name="20% - Акцент2 2 3" xfId="91"/>
    <cellStyle name="20% - Акцент2 2 3 2" xfId="92"/>
    <cellStyle name="20% - Акцент2 2 3 3" xfId="93"/>
    <cellStyle name="20% - Акцент2 2 3 4" xfId="94"/>
    <cellStyle name="20% - Акцент2 2 4" xfId="95"/>
    <cellStyle name="20% - Акцент2 2 4 2" xfId="96"/>
    <cellStyle name="20% - Акцент2 2 4 3" xfId="97"/>
    <cellStyle name="20% - Акцент2 2 5" xfId="98"/>
    <cellStyle name="20% - Акцент2 20" xfId="99"/>
    <cellStyle name="20% - Акцент2 21" xfId="100"/>
    <cellStyle name="20% - Акцент2 22" xfId="101"/>
    <cellStyle name="20% - Акцент2 3" xfId="102"/>
    <cellStyle name="20% - Акцент2 3 2" xfId="103"/>
    <cellStyle name="20% - Акцент2 3 3" xfId="104"/>
    <cellStyle name="20% - Акцент2 3 4" xfId="105"/>
    <cellStyle name="20% - Акцент2 3 5" xfId="106"/>
    <cellStyle name="20% - Акцент2 4" xfId="107"/>
    <cellStyle name="20% - Акцент2 4 2" xfId="108"/>
    <cellStyle name="20% - Акцент2 4 3" xfId="109"/>
    <cellStyle name="20% - Акцент2 5" xfId="110"/>
    <cellStyle name="20% - Акцент2 5 2" xfId="111"/>
    <cellStyle name="20% - Акцент2 5 3" xfId="112"/>
    <cellStyle name="20% - Акцент2 6" xfId="113"/>
    <cellStyle name="20% - Акцент2 6 2" xfId="114"/>
    <cellStyle name="20% - Акцент2 6 3" xfId="115"/>
    <cellStyle name="20% - Акцент2 7" xfId="116"/>
    <cellStyle name="20% - Акцент2 7 2" xfId="117"/>
    <cellStyle name="20% - Акцент2 7 3" xfId="118"/>
    <cellStyle name="20% - Акцент2 8" xfId="119"/>
    <cellStyle name="20% - Акцент2 8 2" xfId="120"/>
    <cellStyle name="20% - Акцент2 9" xfId="121"/>
    <cellStyle name="20% - Акцент2 9 2" xfId="122"/>
    <cellStyle name="20% — акцент3" xfId="123"/>
    <cellStyle name="20% - Акцент3 10" xfId="124"/>
    <cellStyle name="20% - Акцент3 11" xfId="125"/>
    <cellStyle name="20% - Акцент3 12" xfId="126"/>
    <cellStyle name="20% - Акцент3 13" xfId="127"/>
    <cellStyle name="20% - Акцент3 14" xfId="128"/>
    <cellStyle name="20% - Акцент3 15" xfId="129"/>
    <cellStyle name="20% - Акцент3 16" xfId="130"/>
    <cellStyle name="20% - Акцент3 17" xfId="131"/>
    <cellStyle name="20% - Акцент3 18" xfId="132"/>
    <cellStyle name="20% - Акцент3 19" xfId="133"/>
    <cellStyle name="20% - Акцент3 2" xfId="134"/>
    <cellStyle name="20% - Акцент3 2 2" xfId="135"/>
    <cellStyle name="20% - Акцент3 2 2 2" xfId="136"/>
    <cellStyle name="20% - Акцент3 2 2 2 2" xfId="137"/>
    <cellStyle name="20% - Акцент3 2 2 3" xfId="138"/>
    <cellStyle name="20% - Акцент3 2 2 4" xfId="139"/>
    <cellStyle name="20% - Акцент3 2 3" xfId="140"/>
    <cellStyle name="20% - Акцент3 2 3 2" xfId="141"/>
    <cellStyle name="20% - Акцент3 2 3 3" xfId="142"/>
    <cellStyle name="20% - Акцент3 2 3 4" xfId="143"/>
    <cellStyle name="20% - Акцент3 2 4" xfId="144"/>
    <cellStyle name="20% - Акцент3 2 4 2" xfId="145"/>
    <cellStyle name="20% - Акцент3 2 4 3" xfId="146"/>
    <cellStyle name="20% - Акцент3 2 5" xfId="147"/>
    <cellStyle name="20% - Акцент3 20" xfId="148"/>
    <cellStyle name="20% - Акцент3 21" xfId="149"/>
    <cellStyle name="20% - Акцент3 22" xfId="150"/>
    <cellStyle name="20% - Акцент3 3" xfId="151"/>
    <cellStyle name="20% - Акцент3 3 2" xfId="152"/>
    <cellStyle name="20% - Акцент3 3 3" xfId="153"/>
    <cellStyle name="20% - Акцент3 3 4" xfId="154"/>
    <cellStyle name="20% - Акцент3 3 5" xfId="155"/>
    <cellStyle name="20% - Акцент3 4" xfId="156"/>
    <cellStyle name="20% - Акцент3 4 2" xfId="157"/>
    <cellStyle name="20% - Акцент3 4 3" xfId="158"/>
    <cellStyle name="20% - Акцент3 5" xfId="159"/>
    <cellStyle name="20% - Акцент3 5 2" xfId="160"/>
    <cellStyle name="20% - Акцент3 5 3" xfId="161"/>
    <cellStyle name="20% - Акцент3 6" xfId="162"/>
    <cellStyle name="20% - Акцент3 6 2" xfId="163"/>
    <cellStyle name="20% - Акцент3 6 3" xfId="164"/>
    <cellStyle name="20% - Акцент3 7" xfId="165"/>
    <cellStyle name="20% - Акцент3 7 2" xfId="166"/>
    <cellStyle name="20% - Акцент3 7 3" xfId="167"/>
    <cellStyle name="20% - Акцент3 8" xfId="168"/>
    <cellStyle name="20% - Акцент3 8 2" xfId="169"/>
    <cellStyle name="20% - Акцент3 9" xfId="170"/>
    <cellStyle name="20% - Акцент3 9 2" xfId="171"/>
    <cellStyle name="20% — акцент4" xfId="172"/>
    <cellStyle name="20% - Акцент4 10" xfId="173"/>
    <cellStyle name="20% - Акцент4 11" xfId="174"/>
    <cellStyle name="20% - Акцент4 12" xfId="175"/>
    <cellStyle name="20% - Акцент4 13" xfId="176"/>
    <cellStyle name="20% - Акцент4 14" xfId="177"/>
    <cellStyle name="20% - Акцент4 15" xfId="178"/>
    <cellStyle name="20% - Акцент4 16" xfId="179"/>
    <cellStyle name="20% - Акцент4 17" xfId="180"/>
    <cellStyle name="20% - Акцент4 18" xfId="181"/>
    <cellStyle name="20% - Акцент4 19" xfId="182"/>
    <cellStyle name="20% - Акцент4 2" xfId="183"/>
    <cellStyle name="20% - Акцент4 2 2" xfId="184"/>
    <cellStyle name="20% - Акцент4 2 2 2" xfId="185"/>
    <cellStyle name="20% - Акцент4 2 2 2 2" xfId="186"/>
    <cellStyle name="20% - Акцент4 2 2 3" xfId="187"/>
    <cellStyle name="20% - Акцент4 2 2 4" xfId="188"/>
    <cellStyle name="20% - Акцент4 2 3" xfId="189"/>
    <cellStyle name="20% - Акцент4 2 3 2" xfId="190"/>
    <cellStyle name="20% - Акцент4 2 3 3" xfId="191"/>
    <cellStyle name="20% - Акцент4 2 3 4" xfId="192"/>
    <cellStyle name="20% - Акцент4 2 4" xfId="193"/>
    <cellStyle name="20% - Акцент4 2 4 2" xfId="194"/>
    <cellStyle name="20% - Акцент4 2 4 3" xfId="195"/>
    <cellStyle name="20% - Акцент4 2 5" xfId="196"/>
    <cellStyle name="20% - Акцент4 20" xfId="197"/>
    <cellStyle name="20% - Акцент4 21" xfId="198"/>
    <cellStyle name="20% - Акцент4 22" xfId="199"/>
    <cellStyle name="20% - Акцент4 3" xfId="200"/>
    <cellStyle name="20% - Акцент4 3 2" xfId="201"/>
    <cellStyle name="20% - Акцент4 3 3" xfId="202"/>
    <cellStyle name="20% - Акцент4 3 4" xfId="203"/>
    <cellStyle name="20% - Акцент4 3 5" xfId="204"/>
    <cellStyle name="20% - Акцент4 4" xfId="205"/>
    <cellStyle name="20% - Акцент4 4 2" xfId="206"/>
    <cellStyle name="20% - Акцент4 4 3" xfId="207"/>
    <cellStyle name="20% - Акцент4 5" xfId="208"/>
    <cellStyle name="20% - Акцент4 5 2" xfId="209"/>
    <cellStyle name="20% - Акцент4 5 3" xfId="210"/>
    <cellStyle name="20% - Акцент4 6" xfId="211"/>
    <cellStyle name="20% - Акцент4 6 2" xfId="212"/>
    <cellStyle name="20% - Акцент4 6 3" xfId="213"/>
    <cellStyle name="20% - Акцент4 7" xfId="214"/>
    <cellStyle name="20% - Акцент4 7 2" xfId="215"/>
    <cellStyle name="20% - Акцент4 7 3" xfId="216"/>
    <cellStyle name="20% - Акцент4 8" xfId="217"/>
    <cellStyle name="20% - Акцент4 8 2" xfId="218"/>
    <cellStyle name="20% - Акцент4 9" xfId="219"/>
    <cellStyle name="20% - Акцент4 9 2" xfId="220"/>
    <cellStyle name="20% — акцент5" xfId="221"/>
    <cellStyle name="20% - Акцент5 10" xfId="222"/>
    <cellStyle name="20% - Акцент5 11" xfId="223"/>
    <cellStyle name="20% - Акцент5 12" xfId="224"/>
    <cellStyle name="20% - Акцент5 13" xfId="225"/>
    <cellStyle name="20% - Акцент5 14" xfId="226"/>
    <cellStyle name="20% - Акцент5 15" xfId="227"/>
    <cellStyle name="20% - Акцент5 16" xfId="228"/>
    <cellStyle name="20% - Акцент5 17" xfId="229"/>
    <cellStyle name="20% - Акцент5 18" xfId="230"/>
    <cellStyle name="20% - Акцент5 19" xfId="231"/>
    <cellStyle name="20% - Акцент5 2" xfId="232"/>
    <cellStyle name="20% - Акцент5 2 2" xfId="233"/>
    <cellStyle name="20% - Акцент5 2 2 2" xfId="234"/>
    <cellStyle name="20% - Акцент5 2 2 3" xfId="235"/>
    <cellStyle name="20% - Акцент5 2 3" xfId="236"/>
    <cellStyle name="20% - Акцент5 2 3 2" xfId="237"/>
    <cellStyle name="20% - Акцент5 2 4" xfId="238"/>
    <cellStyle name="20% - Акцент5 2 5" xfId="239"/>
    <cellStyle name="20% - Акцент5 20" xfId="240"/>
    <cellStyle name="20% - Акцент5 21" xfId="241"/>
    <cellStyle name="20% - Акцент5 22" xfId="242"/>
    <cellStyle name="20% - Акцент5 3" xfId="243"/>
    <cellStyle name="20% - Акцент5 3 2" xfId="244"/>
    <cellStyle name="20% - Акцент5 3 3" xfId="245"/>
    <cellStyle name="20% - Акцент5 3 4" xfId="246"/>
    <cellStyle name="20% - Акцент5 3 5" xfId="247"/>
    <cellStyle name="20% - Акцент5 4" xfId="248"/>
    <cellStyle name="20% - Акцент5 4 2" xfId="249"/>
    <cellStyle name="20% - Акцент5 4 3" xfId="250"/>
    <cellStyle name="20% - Акцент5 5" xfId="251"/>
    <cellStyle name="20% - Акцент5 5 2" xfId="252"/>
    <cellStyle name="20% - Акцент5 5 3" xfId="253"/>
    <cellStyle name="20% - Акцент5 6" xfId="254"/>
    <cellStyle name="20% - Акцент5 6 2" xfId="255"/>
    <cellStyle name="20% - Акцент5 6 3" xfId="256"/>
    <cellStyle name="20% - Акцент5 7" xfId="257"/>
    <cellStyle name="20% - Акцент5 7 2" xfId="258"/>
    <cellStyle name="20% - Акцент5 7 3" xfId="259"/>
    <cellStyle name="20% - Акцент5 8" xfId="260"/>
    <cellStyle name="20% - Акцент5 8 2" xfId="261"/>
    <cellStyle name="20% - Акцент5 9" xfId="262"/>
    <cellStyle name="20% - Акцент5 9 2" xfId="263"/>
    <cellStyle name="20% — акцент6" xfId="264"/>
    <cellStyle name="20% - Акцент6 10" xfId="265"/>
    <cellStyle name="20% - Акцент6 11" xfId="266"/>
    <cellStyle name="20% - Акцент6 12" xfId="267"/>
    <cellStyle name="20% - Акцент6 13" xfId="268"/>
    <cellStyle name="20% - Акцент6 14" xfId="269"/>
    <cellStyle name="20% - Акцент6 15" xfId="270"/>
    <cellStyle name="20% - Акцент6 16" xfId="271"/>
    <cellStyle name="20% - Акцент6 17" xfId="272"/>
    <cellStyle name="20% - Акцент6 18" xfId="273"/>
    <cellStyle name="20% - Акцент6 19" xfId="274"/>
    <cellStyle name="20% - Акцент6 2" xfId="275"/>
    <cellStyle name="20% - Акцент6 2 2" xfId="276"/>
    <cellStyle name="20% - Акцент6 2 2 2" xfId="277"/>
    <cellStyle name="20% - Акцент6 2 2 3" xfId="278"/>
    <cellStyle name="20% - Акцент6 2 3" xfId="279"/>
    <cellStyle name="20% - Акцент6 2 3 2" xfId="280"/>
    <cellStyle name="20% - Акцент6 2 4" xfId="281"/>
    <cellStyle name="20% - Акцент6 2 5" xfId="282"/>
    <cellStyle name="20% - Акцент6 20" xfId="283"/>
    <cellStyle name="20% - Акцент6 21" xfId="284"/>
    <cellStyle name="20% - Акцент6 22" xfId="285"/>
    <cellStyle name="20% - Акцент6 3" xfId="286"/>
    <cellStyle name="20% - Акцент6 3 2" xfId="287"/>
    <cellStyle name="20% - Акцент6 3 3" xfId="288"/>
    <cellStyle name="20% - Акцент6 3 4" xfId="289"/>
    <cellStyle name="20% - Акцент6 3 5" xfId="290"/>
    <cellStyle name="20% - Акцент6 4" xfId="291"/>
    <cellStyle name="20% - Акцент6 4 2" xfId="292"/>
    <cellStyle name="20% - Акцент6 4 3" xfId="293"/>
    <cellStyle name="20% - Акцент6 5" xfId="294"/>
    <cellStyle name="20% - Акцент6 5 2" xfId="295"/>
    <cellStyle name="20% - Акцент6 5 3" xfId="296"/>
    <cellStyle name="20% - Акцент6 6" xfId="297"/>
    <cellStyle name="20% - Акцент6 6 2" xfId="298"/>
    <cellStyle name="20% - Акцент6 6 3" xfId="299"/>
    <cellStyle name="20% - Акцент6 7" xfId="300"/>
    <cellStyle name="20% - Акцент6 7 2" xfId="301"/>
    <cellStyle name="20% - Акцент6 7 3" xfId="302"/>
    <cellStyle name="20% - Акцент6 8" xfId="303"/>
    <cellStyle name="20% - Акцент6 8 2" xfId="304"/>
    <cellStyle name="20% - Акцент6 9" xfId="305"/>
    <cellStyle name="20% - Акцент6 9 2" xfId="306"/>
    <cellStyle name="40% - Accent1" xfId="307"/>
    <cellStyle name="40% - Accent1 2" xfId="308"/>
    <cellStyle name="40% - Accent2" xfId="309"/>
    <cellStyle name="40% - Accent2 2" xfId="310"/>
    <cellStyle name="40% - Accent3" xfId="311"/>
    <cellStyle name="40% - Accent3 2" xfId="312"/>
    <cellStyle name="40% - Accent4" xfId="313"/>
    <cellStyle name="40% - Accent4 2" xfId="314"/>
    <cellStyle name="40% - Accent5" xfId="315"/>
    <cellStyle name="40% - Accent5 2" xfId="316"/>
    <cellStyle name="40% - Accent6" xfId="317"/>
    <cellStyle name="40% - Accent6 2" xfId="318"/>
    <cellStyle name="40% — акцент1" xfId="319"/>
    <cellStyle name="40% - Акцент1 10" xfId="320"/>
    <cellStyle name="40% - Акцент1 11" xfId="321"/>
    <cellStyle name="40% - Акцент1 12" xfId="322"/>
    <cellStyle name="40% - Акцент1 13" xfId="323"/>
    <cellStyle name="40% - Акцент1 14" xfId="324"/>
    <cellStyle name="40% - Акцент1 15" xfId="325"/>
    <cellStyle name="40% - Акцент1 16" xfId="326"/>
    <cellStyle name="40% - Акцент1 17" xfId="327"/>
    <cellStyle name="40% - Акцент1 18" xfId="328"/>
    <cellStyle name="40% - Акцент1 19" xfId="329"/>
    <cellStyle name="40% - Акцент1 2" xfId="330"/>
    <cellStyle name="40% - Акцент1 2 2" xfId="331"/>
    <cellStyle name="40% - Акцент1 2 2 2" xfId="332"/>
    <cellStyle name="40% - Акцент1 2 2 3" xfId="333"/>
    <cellStyle name="40% - Акцент1 2 3" xfId="334"/>
    <cellStyle name="40% - Акцент1 2 3 2" xfId="335"/>
    <cellStyle name="40% - Акцент1 2 4" xfId="336"/>
    <cellStyle name="40% - Акцент1 2 5" xfId="337"/>
    <cellStyle name="40% - Акцент1 20" xfId="338"/>
    <cellStyle name="40% - Акцент1 21" xfId="339"/>
    <cellStyle name="40% - Акцент1 22" xfId="340"/>
    <cellStyle name="40% - Акцент1 3" xfId="341"/>
    <cellStyle name="40% - Акцент1 3 2" xfId="342"/>
    <cellStyle name="40% - Акцент1 3 3" xfId="343"/>
    <cellStyle name="40% - Акцент1 3 4" xfId="344"/>
    <cellStyle name="40% - Акцент1 3 5" xfId="345"/>
    <cellStyle name="40% - Акцент1 4" xfId="346"/>
    <cellStyle name="40% - Акцент1 4 2" xfId="347"/>
    <cellStyle name="40% - Акцент1 4 3" xfId="348"/>
    <cellStyle name="40% - Акцент1 5" xfId="349"/>
    <cellStyle name="40% - Акцент1 5 2" xfId="350"/>
    <cellStyle name="40% - Акцент1 5 3" xfId="351"/>
    <cellStyle name="40% - Акцент1 6" xfId="352"/>
    <cellStyle name="40% - Акцент1 6 2" xfId="353"/>
    <cellStyle name="40% - Акцент1 6 3" xfId="354"/>
    <cellStyle name="40% - Акцент1 7" xfId="355"/>
    <cellStyle name="40% - Акцент1 7 2" xfId="356"/>
    <cellStyle name="40% - Акцент1 7 3" xfId="357"/>
    <cellStyle name="40% - Акцент1 8" xfId="358"/>
    <cellStyle name="40% - Акцент1 8 2" xfId="359"/>
    <cellStyle name="40% - Акцент1 9" xfId="360"/>
    <cellStyle name="40% - Акцент1 9 2" xfId="361"/>
    <cellStyle name="40% — акцент2" xfId="362"/>
    <cellStyle name="40% - Акцент2 10" xfId="363"/>
    <cellStyle name="40% - Акцент2 11" xfId="364"/>
    <cellStyle name="40% - Акцент2 12" xfId="365"/>
    <cellStyle name="40% - Акцент2 13" xfId="366"/>
    <cellStyle name="40% - Акцент2 14" xfId="367"/>
    <cellStyle name="40% - Акцент2 15" xfId="368"/>
    <cellStyle name="40% - Акцент2 16" xfId="369"/>
    <cellStyle name="40% - Акцент2 17" xfId="370"/>
    <cellStyle name="40% - Акцент2 18" xfId="371"/>
    <cellStyle name="40% - Акцент2 19" xfId="372"/>
    <cellStyle name="40% - Акцент2 2" xfId="373"/>
    <cellStyle name="40% - Акцент2 2 2" xfId="374"/>
    <cellStyle name="40% - Акцент2 2 2 2" xfId="375"/>
    <cellStyle name="40% - Акцент2 2 2 3" xfId="376"/>
    <cellStyle name="40% - Акцент2 2 3" xfId="377"/>
    <cellStyle name="40% - Акцент2 2 3 2" xfId="378"/>
    <cellStyle name="40% - Акцент2 2 4" xfId="379"/>
    <cellStyle name="40% - Акцент2 2 5" xfId="380"/>
    <cellStyle name="40% - Акцент2 20" xfId="381"/>
    <cellStyle name="40% - Акцент2 21" xfId="382"/>
    <cellStyle name="40% - Акцент2 22" xfId="383"/>
    <cellStyle name="40% - Акцент2 3" xfId="384"/>
    <cellStyle name="40% - Акцент2 3 2" xfId="385"/>
    <cellStyle name="40% - Акцент2 3 3" xfId="386"/>
    <cellStyle name="40% - Акцент2 3 4" xfId="387"/>
    <cellStyle name="40% - Акцент2 3 5" xfId="388"/>
    <cellStyle name="40% - Акцент2 4" xfId="389"/>
    <cellStyle name="40% - Акцент2 4 2" xfId="390"/>
    <cellStyle name="40% - Акцент2 4 3" xfId="391"/>
    <cellStyle name="40% - Акцент2 5" xfId="392"/>
    <cellStyle name="40% - Акцент2 5 2" xfId="393"/>
    <cellStyle name="40% - Акцент2 5 3" xfId="394"/>
    <cellStyle name="40% - Акцент2 6" xfId="395"/>
    <cellStyle name="40% - Акцент2 6 2" xfId="396"/>
    <cellStyle name="40% - Акцент2 6 3" xfId="397"/>
    <cellStyle name="40% - Акцент2 7" xfId="398"/>
    <cellStyle name="40% - Акцент2 7 2" xfId="399"/>
    <cellStyle name="40% - Акцент2 7 3" xfId="400"/>
    <cellStyle name="40% - Акцент2 8" xfId="401"/>
    <cellStyle name="40% - Акцент2 8 2" xfId="402"/>
    <cellStyle name="40% - Акцент2 9" xfId="403"/>
    <cellStyle name="40% - Акцент2 9 2" xfId="404"/>
    <cellStyle name="40% — акцент3" xfId="405"/>
    <cellStyle name="40% - Акцент3 10" xfId="406"/>
    <cellStyle name="40% - Акцент3 11" xfId="407"/>
    <cellStyle name="40% - Акцент3 12" xfId="408"/>
    <cellStyle name="40% - Акцент3 13" xfId="409"/>
    <cellStyle name="40% - Акцент3 14" xfId="410"/>
    <cellStyle name="40% - Акцент3 15" xfId="411"/>
    <cellStyle name="40% - Акцент3 16" xfId="412"/>
    <cellStyle name="40% - Акцент3 17" xfId="413"/>
    <cellStyle name="40% - Акцент3 18" xfId="414"/>
    <cellStyle name="40% - Акцент3 19" xfId="415"/>
    <cellStyle name="40% - Акцент3 2" xfId="416"/>
    <cellStyle name="40% - Акцент3 2 2" xfId="417"/>
    <cellStyle name="40% - Акцент3 2 2 2" xfId="418"/>
    <cellStyle name="40% - Акцент3 2 2 2 2" xfId="419"/>
    <cellStyle name="40% - Акцент3 2 2 3" xfId="420"/>
    <cellStyle name="40% - Акцент3 2 2 4" xfId="421"/>
    <cellStyle name="40% - Акцент3 2 3" xfId="422"/>
    <cellStyle name="40% - Акцент3 2 3 2" xfId="423"/>
    <cellStyle name="40% - Акцент3 2 3 3" xfId="424"/>
    <cellStyle name="40% - Акцент3 2 3 4" xfId="425"/>
    <cellStyle name="40% - Акцент3 2 4" xfId="426"/>
    <cellStyle name="40% - Акцент3 2 4 2" xfId="427"/>
    <cellStyle name="40% - Акцент3 2 4 3" xfId="428"/>
    <cellStyle name="40% - Акцент3 2 5" xfId="429"/>
    <cellStyle name="40% - Акцент3 20" xfId="430"/>
    <cellStyle name="40% - Акцент3 21" xfId="431"/>
    <cellStyle name="40% - Акцент3 22" xfId="432"/>
    <cellStyle name="40% - Акцент3 3" xfId="433"/>
    <cellStyle name="40% - Акцент3 3 2" xfId="434"/>
    <cellStyle name="40% - Акцент3 3 3" xfId="435"/>
    <cellStyle name="40% - Акцент3 3 4" xfId="436"/>
    <cellStyle name="40% - Акцент3 3 5" xfId="437"/>
    <cellStyle name="40% - Акцент3 4" xfId="438"/>
    <cellStyle name="40% - Акцент3 4 2" xfId="439"/>
    <cellStyle name="40% - Акцент3 4 3" xfId="440"/>
    <cellStyle name="40% - Акцент3 5" xfId="441"/>
    <cellStyle name="40% - Акцент3 5 2" xfId="442"/>
    <cellStyle name="40% - Акцент3 5 3" xfId="443"/>
    <cellStyle name="40% - Акцент3 6" xfId="444"/>
    <cellStyle name="40% - Акцент3 6 2" xfId="445"/>
    <cellStyle name="40% - Акцент3 6 3" xfId="446"/>
    <cellStyle name="40% - Акцент3 7" xfId="447"/>
    <cellStyle name="40% - Акцент3 7 2" xfId="448"/>
    <cellStyle name="40% - Акцент3 7 3" xfId="449"/>
    <cellStyle name="40% - Акцент3 8" xfId="450"/>
    <cellStyle name="40% - Акцент3 8 2" xfId="451"/>
    <cellStyle name="40% - Акцент3 9" xfId="452"/>
    <cellStyle name="40% - Акцент3 9 2" xfId="453"/>
    <cellStyle name="40% — акцент4" xfId="454"/>
    <cellStyle name="40% - Акцент4 10" xfId="455"/>
    <cellStyle name="40% - Акцент4 11" xfId="456"/>
    <cellStyle name="40% - Акцент4 12" xfId="457"/>
    <cellStyle name="40% - Акцент4 13" xfId="458"/>
    <cellStyle name="40% - Акцент4 14" xfId="459"/>
    <cellStyle name="40% - Акцент4 15" xfId="460"/>
    <cellStyle name="40% - Акцент4 16" xfId="461"/>
    <cellStyle name="40% - Акцент4 17" xfId="462"/>
    <cellStyle name="40% - Акцент4 18" xfId="463"/>
    <cellStyle name="40% - Акцент4 19" xfId="464"/>
    <cellStyle name="40% - Акцент4 2" xfId="465"/>
    <cellStyle name="40% - Акцент4 2 2" xfId="466"/>
    <cellStyle name="40% - Акцент4 2 2 2" xfId="467"/>
    <cellStyle name="40% - Акцент4 2 2 3" xfId="468"/>
    <cellStyle name="40% - Акцент4 2 3" xfId="469"/>
    <cellStyle name="40% - Акцент4 2 3 2" xfId="470"/>
    <cellStyle name="40% - Акцент4 2 4" xfId="471"/>
    <cellStyle name="40% - Акцент4 2 5" xfId="472"/>
    <cellStyle name="40% - Акцент4 20" xfId="473"/>
    <cellStyle name="40% - Акцент4 21" xfId="474"/>
    <cellStyle name="40% - Акцент4 22" xfId="475"/>
    <cellStyle name="40% - Акцент4 3" xfId="476"/>
    <cellStyle name="40% - Акцент4 3 2" xfId="477"/>
    <cellStyle name="40% - Акцент4 3 3" xfId="478"/>
    <cellStyle name="40% - Акцент4 3 4" xfId="479"/>
    <cellStyle name="40% - Акцент4 3 5" xfId="480"/>
    <cellStyle name="40% - Акцент4 4" xfId="481"/>
    <cellStyle name="40% - Акцент4 4 2" xfId="482"/>
    <cellStyle name="40% - Акцент4 4 3" xfId="483"/>
    <cellStyle name="40% - Акцент4 5" xfId="484"/>
    <cellStyle name="40% - Акцент4 5 2" xfId="485"/>
    <cellStyle name="40% - Акцент4 5 3" xfId="486"/>
    <cellStyle name="40% - Акцент4 6" xfId="487"/>
    <cellStyle name="40% - Акцент4 6 2" xfId="488"/>
    <cellStyle name="40% - Акцент4 6 3" xfId="489"/>
    <cellStyle name="40% - Акцент4 7" xfId="490"/>
    <cellStyle name="40% - Акцент4 7 2" xfId="491"/>
    <cellStyle name="40% - Акцент4 7 3" xfId="492"/>
    <cellStyle name="40% - Акцент4 8" xfId="493"/>
    <cellStyle name="40% - Акцент4 8 2" xfId="494"/>
    <cellStyle name="40% - Акцент4 9" xfId="495"/>
    <cellStyle name="40% - Акцент4 9 2" xfId="496"/>
    <cellStyle name="40% — акцент5" xfId="497"/>
    <cellStyle name="40% - Акцент5 10" xfId="498"/>
    <cellStyle name="40% - Акцент5 11" xfId="499"/>
    <cellStyle name="40% - Акцент5 12" xfId="500"/>
    <cellStyle name="40% - Акцент5 13" xfId="501"/>
    <cellStyle name="40% - Акцент5 14" xfId="502"/>
    <cellStyle name="40% - Акцент5 15" xfId="503"/>
    <cellStyle name="40% - Акцент5 16" xfId="504"/>
    <cellStyle name="40% - Акцент5 17" xfId="505"/>
    <cellStyle name="40% - Акцент5 18" xfId="506"/>
    <cellStyle name="40% - Акцент5 19" xfId="507"/>
    <cellStyle name="40% - Акцент5 2" xfId="508"/>
    <cellStyle name="40% - Акцент5 2 2" xfId="509"/>
    <cellStyle name="40% - Акцент5 2 2 2" xfId="510"/>
    <cellStyle name="40% - Акцент5 2 2 3" xfId="511"/>
    <cellStyle name="40% - Акцент5 2 3" xfId="512"/>
    <cellStyle name="40% - Акцент5 2 3 2" xfId="513"/>
    <cellStyle name="40% - Акцент5 2 4" xfId="514"/>
    <cellStyle name="40% - Акцент5 2 5" xfId="515"/>
    <cellStyle name="40% - Акцент5 20" xfId="516"/>
    <cellStyle name="40% - Акцент5 21" xfId="517"/>
    <cellStyle name="40% - Акцент5 22" xfId="518"/>
    <cellStyle name="40% - Акцент5 3" xfId="519"/>
    <cellStyle name="40% - Акцент5 3 2" xfId="520"/>
    <cellStyle name="40% - Акцент5 3 3" xfId="521"/>
    <cellStyle name="40% - Акцент5 3 4" xfId="522"/>
    <cellStyle name="40% - Акцент5 3 5" xfId="523"/>
    <cellStyle name="40% - Акцент5 4" xfId="524"/>
    <cellStyle name="40% - Акцент5 4 2" xfId="525"/>
    <cellStyle name="40% - Акцент5 4 3" xfId="526"/>
    <cellStyle name="40% - Акцент5 5" xfId="527"/>
    <cellStyle name="40% - Акцент5 5 2" xfId="528"/>
    <cellStyle name="40% - Акцент5 5 3" xfId="529"/>
    <cellStyle name="40% - Акцент5 6" xfId="530"/>
    <cellStyle name="40% - Акцент5 6 2" xfId="531"/>
    <cellStyle name="40% - Акцент5 6 3" xfId="532"/>
    <cellStyle name="40% - Акцент5 7" xfId="533"/>
    <cellStyle name="40% - Акцент5 7 2" xfId="534"/>
    <cellStyle name="40% - Акцент5 7 3" xfId="535"/>
    <cellStyle name="40% - Акцент5 8" xfId="536"/>
    <cellStyle name="40% - Акцент5 8 2" xfId="537"/>
    <cellStyle name="40% - Акцент5 9" xfId="538"/>
    <cellStyle name="40% - Акцент5 9 2" xfId="539"/>
    <cellStyle name="40% — акцент6" xfId="540"/>
    <cellStyle name="40% - Акцент6 10" xfId="541"/>
    <cellStyle name="40% - Акцент6 11" xfId="542"/>
    <cellStyle name="40% - Акцент6 12" xfId="543"/>
    <cellStyle name="40% - Акцент6 13" xfId="544"/>
    <cellStyle name="40% - Акцент6 14" xfId="545"/>
    <cellStyle name="40% - Акцент6 15" xfId="546"/>
    <cellStyle name="40% - Акцент6 16" xfId="547"/>
    <cellStyle name="40% - Акцент6 17" xfId="548"/>
    <cellStyle name="40% - Акцент6 18" xfId="549"/>
    <cellStyle name="40% - Акцент6 19" xfId="550"/>
    <cellStyle name="40% - Акцент6 2" xfId="551"/>
    <cellStyle name="40% - Акцент6 2 2" xfId="552"/>
    <cellStyle name="40% - Акцент6 2 2 2" xfId="553"/>
    <cellStyle name="40% - Акцент6 2 2 3" xfId="554"/>
    <cellStyle name="40% - Акцент6 2 3" xfId="555"/>
    <cellStyle name="40% - Акцент6 2 3 2" xfId="556"/>
    <cellStyle name="40% - Акцент6 2 4" xfId="557"/>
    <cellStyle name="40% - Акцент6 2 5" xfId="558"/>
    <cellStyle name="40% - Акцент6 20" xfId="559"/>
    <cellStyle name="40% - Акцент6 21" xfId="560"/>
    <cellStyle name="40% - Акцент6 22" xfId="561"/>
    <cellStyle name="40% - Акцент6 3" xfId="562"/>
    <cellStyle name="40% - Акцент6 3 2" xfId="563"/>
    <cellStyle name="40% - Акцент6 3 3" xfId="564"/>
    <cellStyle name="40% - Акцент6 3 4" xfId="565"/>
    <cellStyle name="40% - Акцент6 3 5" xfId="566"/>
    <cellStyle name="40% - Акцент6 4" xfId="567"/>
    <cellStyle name="40% - Акцент6 4 2" xfId="568"/>
    <cellStyle name="40% - Акцент6 4 3" xfId="569"/>
    <cellStyle name="40% - Акцент6 5" xfId="570"/>
    <cellStyle name="40% - Акцент6 5 2" xfId="571"/>
    <cellStyle name="40% - Акцент6 5 3" xfId="572"/>
    <cellStyle name="40% - Акцент6 6" xfId="573"/>
    <cellStyle name="40% - Акцент6 6 2" xfId="574"/>
    <cellStyle name="40% - Акцент6 6 3" xfId="575"/>
    <cellStyle name="40% - Акцент6 7" xfId="576"/>
    <cellStyle name="40% - Акцент6 7 2" xfId="577"/>
    <cellStyle name="40% - Акцент6 7 3" xfId="578"/>
    <cellStyle name="40% - Акцент6 8" xfId="579"/>
    <cellStyle name="40% - Акцент6 8 2" xfId="580"/>
    <cellStyle name="40% - Акцент6 9" xfId="581"/>
    <cellStyle name="40% - Акцент6 9 2" xfId="582"/>
    <cellStyle name="60% - Accent1" xfId="583"/>
    <cellStyle name="60% - Accent1 2" xfId="584"/>
    <cellStyle name="60% - Accent2" xfId="585"/>
    <cellStyle name="60% - Accent2 2" xfId="586"/>
    <cellStyle name="60% - Accent3" xfId="587"/>
    <cellStyle name="60% - Accent3 2" xfId="588"/>
    <cellStyle name="60% - Accent4" xfId="589"/>
    <cellStyle name="60% - Accent4 2" xfId="590"/>
    <cellStyle name="60% - Accent5" xfId="591"/>
    <cellStyle name="60% - Accent5 2" xfId="592"/>
    <cellStyle name="60% - Accent6" xfId="593"/>
    <cellStyle name="60% - Accent6 2" xfId="594"/>
    <cellStyle name="60% — акцент1" xfId="595"/>
    <cellStyle name="60% - Акцент1 2" xfId="596"/>
    <cellStyle name="60% - Акцент1 3" xfId="597"/>
    <cellStyle name="60% - Акцент1 4" xfId="598"/>
    <cellStyle name="60% — акцент2" xfId="599"/>
    <cellStyle name="60% - Акцент2 2" xfId="600"/>
    <cellStyle name="60% - Акцент2 3" xfId="601"/>
    <cellStyle name="60% - Акцент2 4" xfId="602"/>
    <cellStyle name="60% — акцент3" xfId="603"/>
    <cellStyle name="60% - Акцент3 2" xfId="604"/>
    <cellStyle name="60% - Акцент3 2 2" xfId="605"/>
    <cellStyle name="60% - Акцент3 2 3" xfId="606"/>
    <cellStyle name="60% - Акцент3 3" xfId="607"/>
    <cellStyle name="60% - Акцент3 4" xfId="608"/>
    <cellStyle name="60% — акцент4" xfId="609"/>
    <cellStyle name="60% - Акцент4 2" xfId="610"/>
    <cellStyle name="60% - Акцент4 2 2" xfId="611"/>
    <cellStyle name="60% - Акцент4 2 3" xfId="612"/>
    <cellStyle name="60% - Акцент4 3" xfId="613"/>
    <cellStyle name="60% - Акцент4 4" xfId="614"/>
    <cellStyle name="60% — акцент5" xfId="615"/>
    <cellStyle name="60% - Акцент5 2" xfId="616"/>
    <cellStyle name="60% - Акцент5 3" xfId="617"/>
    <cellStyle name="60% - Акцент5 4" xfId="618"/>
    <cellStyle name="60% — акцент6" xfId="619"/>
    <cellStyle name="60% - Акцент6 2" xfId="620"/>
    <cellStyle name="60% - Акцент6 2 2" xfId="621"/>
    <cellStyle name="60% - Акцент6 2 3" xfId="622"/>
    <cellStyle name="60% - Акцент6 3" xfId="623"/>
    <cellStyle name="60% - Акцент6 4" xfId="624"/>
    <cellStyle name="Accent1" xfId="625"/>
    <cellStyle name="Accent1 2" xfId="626"/>
    <cellStyle name="Accent2" xfId="627"/>
    <cellStyle name="Accent2 2" xfId="628"/>
    <cellStyle name="Accent3" xfId="629"/>
    <cellStyle name="Accent3 2" xfId="630"/>
    <cellStyle name="Accent4" xfId="631"/>
    <cellStyle name="Accent4 2" xfId="632"/>
    <cellStyle name="Accent5" xfId="633"/>
    <cellStyle name="Accent5 2" xfId="634"/>
    <cellStyle name="Accent6" xfId="635"/>
    <cellStyle name="Accent6 2" xfId="636"/>
    <cellStyle name="Bad" xfId="637"/>
    <cellStyle name="Calculation" xfId="638"/>
    <cellStyle name="Calculation 2" xfId="639"/>
    <cellStyle name="Check Cell" xfId="640"/>
    <cellStyle name="Check Cell 2" xfId="641"/>
    <cellStyle name="Comma" xfId="642"/>
    <cellStyle name="Comma [0]" xfId="643"/>
    <cellStyle name="Comma [0] 2" xfId="644"/>
    <cellStyle name="Comma [0]_Forma" xfId="645"/>
    <cellStyle name="Comma 10" xfId="646"/>
    <cellStyle name="Comma 11" xfId="647"/>
    <cellStyle name="Comma 12" xfId="648"/>
    <cellStyle name="Comma 13" xfId="649"/>
    <cellStyle name="Comma 14" xfId="650"/>
    <cellStyle name="Comma 15" xfId="651"/>
    <cellStyle name="Comma 16" xfId="652"/>
    <cellStyle name="Comma 17" xfId="653"/>
    <cellStyle name="Comma 18" xfId="654"/>
    <cellStyle name="Comma 19" xfId="655"/>
    <cellStyle name="Comma 2" xfId="656"/>
    <cellStyle name="Comma 20" xfId="657"/>
    <cellStyle name="Comma 20 2" xfId="658"/>
    <cellStyle name="Comma 21" xfId="659"/>
    <cellStyle name="Comma 21 2" xfId="660"/>
    <cellStyle name="Comma 22" xfId="661"/>
    <cellStyle name="Comma 22 2" xfId="662"/>
    <cellStyle name="Comma 23" xfId="663"/>
    <cellStyle name="Comma 23 2" xfId="664"/>
    <cellStyle name="Comma 24" xfId="665"/>
    <cellStyle name="Comma 24 2" xfId="666"/>
    <cellStyle name="Comma 25" xfId="667"/>
    <cellStyle name="Comma 25 2" xfId="668"/>
    <cellStyle name="Comma 3" xfId="669"/>
    <cellStyle name="Comma 4" xfId="670"/>
    <cellStyle name="Comma 5" xfId="671"/>
    <cellStyle name="Comma 6" xfId="672"/>
    <cellStyle name="Comma 7" xfId="673"/>
    <cellStyle name="Comma 8" xfId="674"/>
    <cellStyle name="Comma 9" xfId="675"/>
    <cellStyle name="Comma_Forma" xfId="676"/>
    <cellStyle name="Currency" xfId="677"/>
    <cellStyle name="Currency [0]" xfId="678"/>
    <cellStyle name="Currency [0] 2" xfId="679"/>
    <cellStyle name="Currency [0]_Forma" xfId="680"/>
    <cellStyle name="Currency 10" xfId="681"/>
    <cellStyle name="Currency 11" xfId="682"/>
    <cellStyle name="Currency 12" xfId="683"/>
    <cellStyle name="Currency 13" xfId="684"/>
    <cellStyle name="Currency 14" xfId="685"/>
    <cellStyle name="Currency 15" xfId="686"/>
    <cellStyle name="Currency 16" xfId="687"/>
    <cellStyle name="Currency 17" xfId="688"/>
    <cellStyle name="Currency 18" xfId="689"/>
    <cellStyle name="Currency 19" xfId="690"/>
    <cellStyle name="Currency 2" xfId="691"/>
    <cellStyle name="Currency 20" xfId="692"/>
    <cellStyle name="Currency 20 2" xfId="693"/>
    <cellStyle name="Currency 21" xfId="694"/>
    <cellStyle name="Currency 21 2" xfId="695"/>
    <cellStyle name="Currency 22" xfId="696"/>
    <cellStyle name="Currency 22 2" xfId="697"/>
    <cellStyle name="Currency 23" xfId="698"/>
    <cellStyle name="Currency 23 2" xfId="699"/>
    <cellStyle name="Currency 24" xfId="700"/>
    <cellStyle name="Currency 24 2" xfId="701"/>
    <cellStyle name="Currency 25" xfId="702"/>
    <cellStyle name="Currency 25 2" xfId="703"/>
    <cellStyle name="Currency 3" xfId="704"/>
    <cellStyle name="Currency 4" xfId="705"/>
    <cellStyle name="Currency 5" xfId="706"/>
    <cellStyle name="Currency 6" xfId="707"/>
    <cellStyle name="Currency 7" xfId="708"/>
    <cellStyle name="Currency 8" xfId="709"/>
    <cellStyle name="Currency 9" xfId="710"/>
    <cellStyle name="Currency_Forma" xfId="711"/>
    <cellStyle name="Date" xfId="712"/>
    <cellStyle name="Explanatory Text" xfId="713"/>
    <cellStyle name="Fixed" xfId="714"/>
    <cellStyle name="Good" xfId="715"/>
    <cellStyle name="Heading 1" xfId="716"/>
    <cellStyle name="Heading 1 2" xfId="717"/>
    <cellStyle name="Heading 2" xfId="718"/>
    <cellStyle name="Heading 2 2" xfId="719"/>
    <cellStyle name="Heading 3" xfId="720"/>
    <cellStyle name="Heading 3 2" xfId="721"/>
    <cellStyle name="Heading 4" xfId="722"/>
    <cellStyle name="Heading 4 2" xfId="723"/>
    <cellStyle name="Heading1" xfId="724"/>
    <cellStyle name="Heading2" xfId="725"/>
    <cellStyle name="Îáű÷íűé_ÂŰŐÎÄ" xfId="726"/>
    <cellStyle name="Input" xfId="727"/>
    <cellStyle name="Input 2" xfId="728"/>
    <cellStyle name="Linked Cell" xfId="729"/>
    <cellStyle name="Neutral" xfId="730"/>
    <cellStyle name="Normal" xfId="731"/>
    <cellStyle name="Normal 2" xfId="732"/>
    <cellStyle name="Normal 2 2" xfId="733"/>
    <cellStyle name="Normal 2 2 2" xfId="734"/>
    <cellStyle name="Normal 2 2 2 2" xfId="735"/>
    <cellStyle name="Normal 2 2 2 3" xfId="736"/>
    <cellStyle name="Normal 2 2 3" xfId="737"/>
    <cellStyle name="Normal 2 2 3 2" xfId="738"/>
    <cellStyle name="Normal 2 2 3 3" xfId="739"/>
    <cellStyle name="Normal 2 2 4" xfId="740"/>
    <cellStyle name="Normal 2 2 5" xfId="741"/>
    <cellStyle name="Normal 2 3" xfId="742"/>
    <cellStyle name="Normal 2 3 2" xfId="743"/>
    <cellStyle name="Normal 2 3 3" xfId="744"/>
    <cellStyle name="Normal 2 4" xfId="745"/>
    <cellStyle name="Normal 3" xfId="746"/>
    <cellStyle name="Normal 3 2" xfId="747"/>
    <cellStyle name="Normal 3 2 2" xfId="748"/>
    <cellStyle name="Normal 3 2 3" xfId="749"/>
    <cellStyle name="Normal 3 3" xfId="750"/>
    <cellStyle name="Normal 3 3 2" xfId="751"/>
    <cellStyle name="Normal 3 3 3" xfId="752"/>
    <cellStyle name="Normal 3 4" xfId="753"/>
    <cellStyle name="Normal 3 4 2" xfId="754"/>
    <cellStyle name="Normal 3 4 3" xfId="755"/>
    <cellStyle name="Normal 4" xfId="756"/>
    <cellStyle name="Normal 4 2" xfId="757"/>
    <cellStyle name="Normal 4 3" xfId="758"/>
    <cellStyle name="Normal 5" xfId="759"/>
    <cellStyle name="Normal 5 2" xfId="760"/>
    <cellStyle name="Note" xfId="761"/>
    <cellStyle name="Note 2" xfId="762"/>
    <cellStyle name="Output" xfId="763"/>
    <cellStyle name="Output 2" xfId="764"/>
    <cellStyle name="Percent" xfId="765"/>
    <cellStyle name="Percent 2" xfId="766"/>
    <cellStyle name="Percent 3" xfId="767"/>
    <cellStyle name="Percent 3 2" xfId="768"/>
    <cellStyle name="Title" xfId="769"/>
    <cellStyle name="Title 2" xfId="770"/>
    <cellStyle name="Total" xfId="771"/>
    <cellStyle name="Total 2" xfId="772"/>
    <cellStyle name="Total 3" xfId="773"/>
    <cellStyle name="Total 4" xfId="774"/>
    <cellStyle name="Warning Text" xfId="775"/>
    <cellStyle name="Акцент1" xfId="776"/>
    <cellStyle name="Акцент1 2" xfId="777"/>
    <cellStyle name="Акцент1 3" xfId="778"/>
    <cellStyle name="Акцент1 4" xfId="779"/>
    <cellStyle name="Акцент2" xfId="780"/>
    <cellStyle name="Акцент2 2" xfId="781"/>
    <cellStyle name="Акцент2 3" xfId="782"/>
    <cellStyle name="Акцент2 4" xfId="783"/>
    <cellStyle name="Акцент3" xfId="784"/>
    <cellStyle name="Акцент3 2" xfId="785"/>
    <cellStyle name="Акцент3 3" xfId="786"/>
    <cellStyle name="Акцент3 4" xfId="787"/>
    <cellStyle name="Акцент4" xfId="788"/>
    <cellStyle name="Акцент4 2" xfId="789"/>
    <cellStyle name="Акцент4 3" xfId="790"/>
    <cellStyle name="Акцент4 4" xfId="791"/>
    <cellStyle name="Акцент5" xfId="792"/>
    <cellStyle name="Акцент5 2" xfId="793"/>
    <cellStyle name="Акцент5 3" xfId="794"/>
    <cellStyle name="Акцент5 4" xfId="795"/>
    <cellStyle name="Акцент6" xfId="796"/>
    <cellStyle name="Акцент6 2" xfId="797"/>
    <cellStyle name="Акцент6 3" xfId="798"/>
    <cellStyle name="Акцент6 4" xfId="799"/>
    <cellStyle name="Ввод " xfId="800"/>
    <cellStyle name="Ввод  2" xfId="801"/>
    <cellStyle name="Ввод  3" xfId="802"/>
    <cellStyle name="Ввод  4" xfId="803"/>
    <cellStyle name="Вывод" xfId="804"/>
    <cellStyle name="Вывод 2" xfId="805"/>
    <cellStyle name="Вывод 3" xfId="806"/>
    <cellStyle name="Вывод 4" xfId="807"/>
    <cellStyle name="Вычисление" xfId="808"/>
    <cellStyle name="Вычисление 2" xfId="809"/>
    <cellStyle name="Вычисление 3" xfId="810"/>
    <cellStyle name="Вычисление 4" xfId="811"/>
    <cellStyle name="Hyperlink" xfId="812"/>
    <cellStyle name="Гиперссылка 2" xfId="813"/>
    <cellStyle name="Currency" xfId="814"/>
    <cellStyle name="Currency [0]" xfId="815"/>
    <cellStyle name="Денежный 2" xfId="816"/>
    <cellStyle name="Денежный 2 2" xfId="817"/>
    <cellStyle name="Денежный 3" xfId="818"/>
    <cellStyle name="Заголовок" xfId="819"/>
    <cellStyle name="Заголовок 1" xfId="820"/>
    <cellStyle name="Заголовок 1 2" xfId="821"/>
    <cellStyle name="Заголовок 1 3" xfId="822"/>
    <cellStyle name="Заголовок 1 4" xfId="823"/>
    <cellStyle name="Заголовок 2" xfId="824"/>
    <cellStyle name="Заголовок 2 2" xfId="825"/>
    <cellStyle name="Заголовок 2 3" xfId="826"/>
    <cellStyle name="Заголовок 2 4" xfId="827"/>
    <cellStyle name="Заголовок 3" xfId="828"/>
    <cellStyle name="Заголовок 3 2" xfId="829"/>
    <cellStyle name="Заголовок 3 3" xfId="830"/>
    <cellStyle name="Заголовок 3 4" xfId="831"/>
    <cellStyle name="Заголовок 4" xfId="832"/>
    <cellStyle name="Заголовок 4 2" xfId="833"/>
    <cellStyle name="Заголовок 4 3" xfId="834"/>
    <cellStyle name="Заголовок 4 4" xfId="835"/>
    <cellStyle name="Итог" xfId="836"/>
    <cellStyle name="Итог 2" xfId="837"/>
    <cellStyle name="Итог 3" xfId="838"/>
    <cellStyle name="Итог 4" xfId="839"/>
    <cellStyle name="Контрольная ячейка" xfId="840"/>
    <cellStyle name="Контрольная ячейка 2" xfId="841"/>
    <cellStyle name="Контрольная ячейка 3" xfId="842"/>
    <cellStyle name="Контрольная ячейка 4" xfId="843"/>
    <cellStyle name="Месяцев" xfId="844"/>
    <cellStyle name="Миллион человек" xfId="845"/>
    <cellStyle name="Название" xfId="846"/>
    <cellStyle name="Название 2" xfId="847"/>
    <cellStyle name="Название 3" xfId="848"/>
    <cellStyle name="Название 4" xfId="849"/>
    <cellStyle name="Нейтральный" xfId="850"/>
    <cellStyle name="Нейтральный 2" xfId="851"/>
    <cellStyle name="Нейтральный 3" xfId="852"/>
    <cellStyle name="Нейтральный 4" xfId="853"/>
    <cellStyle name="Обычный 10" xfId="854"/>
    <cellStyle name="Обычный 10 10" xfId="855"/>
    <cellStyle name="Обычный 10 2" xfId="856"/>
    <cellStyle name="Обычный 10 2 2" xfId="857"/>
    <cellStyle name="Обычный 10 2 2 2" xfId="858"/>
    <cellStyle name="Обычный 10 2 2 3" xfId="859"/>
    <cellStyle name="Обычный 10 2 3" xfId="860"/>
    <cellStyle name="Обычный 10 2 3 2" xfId="861"/>
    <cellStyle name="Обычный 10 2 4" xfId="862"/>
    <cellStyle name="Обычный 10 2 5" xfId="863"/>
    <cellStyle name="Обычный 10 3" xfId="864"/>
    <cellStyle name="Обычный 10 3 2" xfId="865"/>
    <cellStyle name="Обычный 10 3 3" xfId="866"/>
    <cellStyle name="Обычный 10 4" xfId="867"/>
    <cellStyle name="Обычный 10 4 2" xfId="868"/>
    <cellStyle name="Обычный 10 5" xfId="869"/>
    <cellStyle name="Обычный 10 6" xfId="870"/>
    <cellStyle name="Обычный 10 7" xfId="871"/>
    <cellStyle name="Обычный 10 8" xfId="872"/>
    <cellStyle name="Обычный 10 9" xfId="873"/>
    <cellStyle name="Обычный 100" xfId="874"/>
    <cellStyle name="Обычный 100 2" xfId="875"/>
    <cellStyle name="Обычный 100 2 2" xfId="876"/>
    <cellStyle name="Обычный 100 3" xfId="877"/>
    <cellStyle name="Обычный 100 4" xfId="878"/>
    <cellStyle name="Обычный 101" xfId="879"/>
    <cellStyle name="Обычный 101 2" xfId="880"/>
    <cellStyle name="Обычный 101 2 2" xfId="881"/>
    <cellStyle name="Обычный 101 3" xfId="882"/>
    <cellStyle name="Обычный 101 4" xfId="883"/>
    <cellStyle name="Обычный 102" xfId="884"/>
    <cellStyle name="Обычный 102 2" xfId="885"/>
    <cellStyle name="Обычный 102 2 2" xfId="886"/>
    <cellStyle name="Обычный 102 3" xfId="887"/>
    <cellStyle name="Обычный 102 4" xfId="888"/>
    <cellStyle name="Обычный 103" xfId="889"/>
    <cellStyle name="Обычный 103 2" xfId="890"/>
    <cellStyle name="Обычный 103 2 2" xfId="891"/>
    <cellStyle name="Обычный 103 3" xfId="892"/>
    <cellStyle name="Обычный 103 4" xfId="893"/>
    <cellStyle name="Обычный 104" xfId="894"/>
    <cellStyle name="Обычный 104 2" xfId="895"/>
    <cellStyle name="Обычный 104 2 2" xfId="896"/>
    <cellStyle name="Обычный 104 3" xfId="897"/>
    <cellStyle name="Обычный 104 4" xfId="898"/>
    <cellStyle name="Обычный 105" xfId="899"/>
    <cellStyle name="Обычный 105 2" xfId="900"/>
    <cellStyle name="Обычный 105 2 2" xfId="901"/>
    <cellStyle name="Обычный 105 3" xfId="902"/>
    <cellStyle name="Обычный 105 4" xfId="903"/>
    <cellStyle name="Обычный 106" xfId="904"/>
    <cellStyle name="Обычный 106 2" xfId="905"/>
    <cellStyle name="Обычный 106 2 2" xfId="906"/>
    <cellStyle name="Обычный 106 3" xfId="907"/>
    <cellStyle name="Обычный 106 4" xfId="908"/>
    <cellStyle name="Обычный 107" xfId="909"/>
    <cellStyle name="Обычный 107 2" xfId="910"/>
    <cellStyle name="Обычный 107 2 2" xfId="911"/>
    <cellStyle name="Обычный 107 3" xfId="912"/>
    <cellStyle name="Обычный 107 4" xfId="913"/>
    <cellStyle name="Обычный 108" xfId="914"/>
    <cellStyle name="Обычный 108 2" xfId="915"/>
    <cellStyle name="Обычный 108 2 2" xfId="916"/>
    <cellStyle name="Обычный 108 3" xfId="917"/>
    <cellStyle name="Обычный 108 4" xfId="918"/>
    <cellStyle name="Обычный 109" xfId="919"/>
    <cellStyle name="Обычный 11" xfId="920"/>
    <cellStyle name="Обычный 11 2" xfId="921"/>
    <cellStyle name="Обычный 11 2 2" xfId="922"/>
    <cellStyle name="Обычный 11 3" xfId="923"/>
    <cellStyle name="Обычный 11 3 2" xfId="924"/>
    <cellStyle name="Обычный 11 4" xfId="925"/>
    <cellStyle name="Обычный 11 5" xfId="926"/>
    <cellStyle name="Обычный 110" xfId="927"/>
    <cellStyle name="Обычный 110 2" xfId="928"/>
    <cellStyle name="Обычный 110 2 2" xfId="929"/>
    <cellStyle name="Обычный 110 3" xfId="930"/>
    <cellStyle name="Обычный 110 4" xfId="931"/>
    <cellStyle name="Обычный 111" xfId="932"/>
    <cellStyle name="Обычный 111 2" xfId="933"/>
    <cellStyle name="Обычный 111 2 2" xfId="934"/>
    <cellStyle name="Обычный 111 3" xfId="935"/>
    <cellStyle name="Обычный 111 4" xfId="936"/>
    <cellStyle name="Обычный 112" xfId="937"/>
    <cellStyle name="Обычный 112 2" xfId="938"/>
    <cellStyle name="Обычный 112 2 2" xfId="939"/>
    <cellStyle name="Обычный 112 3" xfId="940"/>
    <cellStyle name="Обычный 112 4" xfId="941"/>
    <cellStyle name="Обычный 113" xfId="942"/>
    <cellStyle name="Обычный 113 2" xfId="943"/>
    <cellStyle name="Обычный 113 2 2" xfId="944"/>
    <cellStyle name="Обычный 113 3" xfId="945"/>
    <cellStyle name="Обычный 113 4" xfId="946"/>
    <cellStyle name="Обычный 114" xfId="947"/>
    <cellStyle name="Обычный 114 2" xfId="948"/>
    <cellStyle name="Обычный 114 2 2" xfId="949"/>
    <cellStyle name="Обычный 114 3" xfId="950"/>
    <cellStyle name="Обычный 114 4" xfId="951"/>
    <cellStyle name="Обычный 115" xfId="952"/>
    <cellStyle name="Обычный 115 2" xfId="953"/>
    <cellStyle name="Обычный 115 2 2" xfId="954"/>
    <cellStyle name="Обычный 115 3" xfId="955"/>
    <cellStyle name="Обычный 115 4" xfId="956"/>
    <cellStyle name="Обычный 116" xfId="957"/>
    <cellStyle name="Обычный 116 2" xfId="958"/>
    <cellStyle name="Обычный 116 2 2" xfId="959"/>
    <cellStyle name="Обычный 116 3" xfId="960"/>
    <cellStyle name="Обычный 116 4" xfId="961"/>
    <cellStyle name="Обычный 117" xfId="962"/>
    <cellStyle name="Обычный 117 2" xfId="963"/>
    <cellStyle name="Обычный 117 2 2" xfId="964"/>
    <cellStyle name="Обычный 117 3" xfId="965"/>
    <cellStyle name="Обычный 117 4" xfId="966"/>
    <cellStyle name="Обычный 118" xfId="967"/>
    <cellStyle name="Обычный 118 2" xfId="968"/>
    <cellStyle name="Обычный 118 2 2" xfId="969"/>
    <cellStyle name="Обычный 118 3" xfId="970"/>
    <cellStyle name="Обычный 118 4" xfId="971"/>
    <cellStyle name="Обычный 119" xfId="972"/>
    <cellStyle name="Обычный 119 2" xfId="973"/>
    <cellStyle name="Обычный 119 2 2" xfId="974"/>
    <cellStyle name="Обычный 119 3" xfId="975"/>
    <cellStyle name="Обычный 119 4" xfId="976"/>
    <cellStyle name="Обычный 12" xfId="977"/>
    <cellStyle name="Обычный 12 2" xfId="978"/>
    <cellStyle name="Обычный 12 2 2" xfId="979"/>
    <cellStyle name="Обычный 12 3" xfId="980"/>
    <cellStyle name="Обычный 12 3 2" xfId="981"/>
    <cellStyle name="Обычный 12 4" xfId="982"/>
    <cellStyle name="Обычный 12 5" xfId="983"/>
    <cellStyle name="Обычный 120" xfId="984"/>
    <cellStyle name="Обычный 120 2" xfId="985"/>
    <cellStyle name="Обычный 120 2 2" xfId="986"/>
    <cellStyle name="Обычный 120 3" xfId="987"/>
    <cellStyle name="Обычный 120 4" xfId="988"/>
    <cellStyle name="Обычный 121" xfId="989"/>
    <cellStyle name="Обычный 121 2" xfId="990"/>
    <cellStyle name="Обычный 121 2 2" xfId="991"/>
    <cellStyle name="Обычный 121 3" xfId="992"/>
    <cellStyle name="Обычный 121 4" xfId="993"/>
    <cellStyle name="Обычный 122" xfId="994"/>
    <cellStyle name="Обычный 122 2" xfId="995"/>
    <cellStyle name="Обычный 122 2 2" xfId="996"/>
    <cellStyle name="Обычный 122 3" xfId="997"/>
    <cellStyle name="Обычный 122 4" xfId="998"/>
    <cellStyle name="Обычный 123" xfId="999"/>
    <cellStyle name="Обычный 123 2" xfId="1000"/>
    <cellStyle name="Обычный 123 2 2" xfId="1001"/>
    <cellStyle name="Обычный 123 3" xfId="1002"/>
    <cellStyle name="Обычный 123 4" xfId="1003"/>
    <cellStyle name="Обычный 124" xfId="1004"/>
    <cellStyle name="Обычный 124 2" xfId="1005"/>
    <cellStyle name="Обычный 124 2 2" xfId="1006"/>
    <cellStyle name="Обычный 124 3" xfId="1007"/>
    <cellStyle name="Обычный 124 4" xfId="1008"/>
    <cellStyle name="Обычный 125" xfId="1009"/>
    <cellStyle name="Обычный 125 2" xfId="1010"/>
    <cellStyle name="Обычный 125 2 2" xfId="1011"/>
    <cellStyle name="Обычный 125 3" xfId="1012"/>
    <cellStyle name="Обычный 125 4" xfId="1013"/>
    <cellStyle name="Обычный 126" xfId="1014"/>
    <cellStyle name="Обычный 126 2" xfId="1015"/>
    <cellStyle name="Обычный 126 2 2" xfId="1016"/>
    <cellStyle name="Обычный 126 3" xfId="1017"/>
    <cellStyle name="Обычный 126 4" xfId="1018"/>
    <cellStyle name="Обычный 127" xfId="1019"/>
    <cellStyle name="Обычный 127 2" xfId="1020"/>
    <cellStyle name="Обычный 127 2 2" xfId="1021"/>
    <cellStyle name="Обычный 127 3" xfId="1022"/>
    <cellStyle name="Обычный 127 4" xfId="1023"/>
    <cellStyle name="Обычный 128" xfId="1024"/>
    <cellStyle name="Обычный 128 2" xfId="1025"/>
    <cellStyle name="Обычный 128 2 2" xfId="1026"/>
    <cellStyle name="Обычный 128 3" xfId="1027"/>
    <cellStyle name="Обычный 128 4" xfId="1028"/>
    <cellStyle name="Обычный 129" xfId="1029"/>
    <cellStyle name="Обычный 129 2" xfId="1030"/>
    <cellStyle name="Обычный 129 2 2" xfId="1031"/>
    <cellStyle name="Обычный 129 3" xfId="1032"/>
    <cellStyle name="Обычный 129 4" xfId="1033"/>
    <cellStyle name="Обычный 13" xfId="1034"/>
    <cellStyle name="Обычный 13 2" xfId="1035"/>
    <cellStyle name="Обычный 13 2 2" xfId="1036"/>
    <cellStyle name="Обычный 13 3" xfId="1037"/>
    <cellStyle name="Обычный 13 4" xfId="1038"/>
    <cellStyle name="Обычный 13 5" xfId="1039"/>
    <cellStyle name="Обычный 13 6" xfId="1040"/>
    <cellStyle name="Обычный 130" xfId="1041"/>
    <cellStyle name="Обычный 130 2" xfId="1042"/>
    <cellStyle name="Обычный 130 2 2" xfId="1043"/>
    <cellStyle name="Обычный 130 3" xfId="1044"/>
    <cellStyle name="Обычный 130 4" xfId="1045"/>
    <cellStyle name="Обычный 131" xfId="1046"/>
    <cellStyle name="Обычный 131 2" xfId="1047"/>
    <cellStyle name="Обычный 131 2 2" xfId="1048"/>
    <cellStyle name="Обычный 131 3" xfId="1049"/>
    <cellStyle name="Обычный 131 4" xfId="1050"/>
    <cellStyle name="Обычный 132" xfId="1051"/>
    <cellStyle name="Обычный 132 2" xfId="1052"/>
    <cellStyle name="Обычный 132 2 2" xfId="1053"/>
    <cellStyle name="Обычный 132 3" xfId="1054"/>
    <cellStyle name="Обычный 132 4" xfId="1055"/>
    <cellStyle name="Обычный 133" xfId="1056"/>
    <cellStyle name="Обычный 133 2" xfId="1057"/>
    <cellStyle name="Обычный 133 2 2" xfId="1058"/>
    <cellStyle name="Обычный 133 3" xfId="1059"/>
    <cellStyle name="Обычный 133 4" xfId="1060"/>
    <cellStyle name="Обычный 134" xfId="1061"/>
    <cellStyle name="Обычный 134 2" xfId="1062"/>
    <cellStyle name="Обычный 134 2 2" xfId="1063"/>
    <cellStyle name="Обычный 134 3" xfId="1064"/>
    <cellStyle name="Обычный 134 4" xfId="1065"/>
    <cellStyle name="Обычный 135" xfId="1066"/>
    <cellStyle name="Обычный 135 2" xfId="1067"/>
    <cellStyle name="Обычный 135 2 2" xfId="1068"/>
    <cellStyle name="Обычный 135 3" xfId="1069"/>
    <cellStyle name="Обычный 135 4" xfId="1070"/>
    <cellStyle name="Обычный 136" xfId="1071"/>
    <cellStyle name="Обычный 136 2" xfId="1072"/>
    <cellStyle name="Обычный 136 2 2" xfId="1073"/>
    <cellStyle name="Обычный 136 3" xfId="1074"/>
    <cellStyle name="Обычный 136 4" xfId="1075"/>
    <cellStyle name="Обычный 137" xfId="1076"/>
    <cellStyle name="Обычный 137 2" xfId="1077"/>
    <cellStyle name="Обычный 137 2 2" xfId="1078"/>
    <cellStyle name="Обычный 137 3" xfId="1079"/>
    <cellStyle name="Обычный 137 4" xfId="1080"/>
    <cellStyle name="Обычный 138" xfId="1081"/>
    <cellStyle name="Обычный 138 2" xfId="1082"/>
    <cellStyle name="Обычный 138 2 2" xfId="1083"/>
    <cellStyle name="Обычный 138 3" xfId="1084"/>
    <cellStyle name="Обычный 138 4" xfId="1085"/>
    <cellStyle name="Обычный 139" xfId="1086"/>
    <cellStyle name="Обычный 139 2" xfId="1087"/>
    <cellStyle name="Обычный 139 2 2" xfId="1088"/>
    <cellStyle name="Обычный 139 3" xfId="1089"/>
    <cellStyle name="Обычный 139 4" xfId="1090"/>
    <cellStyle name="Обычный 14" xfId="1091"/>
    <cellStyle name="Обычный 14 2" xfId="1092"/>
    <cellStyle name="Обычный 14 2 2" xfId="1093"/>
    <cellStyle name="Обычный 14 2 3" xfId="1094"/>
    <cellStyle name="Обычный 14 3" xfId="1095"/>
    <cellStyle name="Обычный 14 4" xfId="1096"/>
    <cellStyle name="Обычный 14 5" xfId="1097"/>
    <cellStyle name="Обычный 14 6" xfId="1098"/>
    <cellStyle name="Обычный 14 7" xfId="1099"/>
    <cellStyle name="Обычный 140" xfId="1100"/>
    <cellStyle name="Обычный 140 2" xfId="1101"/>
    <cellStyle name="Обычный 140 2 2" xfId="1102"/>
    <cellStyle name="Обычный 140 3" xfId="1103"/>
    <cellStyle name="Обычный 140 4" xfId="1104"/>
    <cellStyle name="Обычный 141" xfId="1105"/>
    <cellStyle name="Обычный 141 2" xfId="1106"/>
    <cellStyle name="Обычный 141 2 2" xfId="1107"/>
    <cellStyle name="Обычный 141 3" xfId="1108"/>
    <cellStyle name="Обычный 141 4" xfId="1109"/>
    <cellStyle name="Обычный 142" xfId="1110"/>
    <cellStyle name="Обычный 142 2" xfId="1111"/>
    <cellStyle name="Обычный 142 2 2" xfId="1112"/>
    <cellStyle name="Обычный 142 3" xfId="1113"/>
    <cellStyle name="Обычный 142 4" xfId="1114"/>
    <cellStyle name="Обычный 143" xfId="1115"/>
    <cellStyle name="Обычный 143 2" xfId="1116"/>
    <cellStyle name="Обычный 143 2 2" xfId="1117"/>
    <cellStyle name="Обычный 143 3" xfId="1118"/>
    <cellStyle name="Обычный 143 4" xfId="1119"/>
    <cellStyle name="Обычный 144" xfId="1120"/>
    <cellStyle name="Обычный 144 2" xfId="1121"/>
    <cellStyle name="Обычный 144 2 2" xfId="1122"/>
    <cellStyle name="Обычный 144 3" xfId="1123"/>
    <cellStyle name="Обычный 144 4" xfId="1124"/>
    <cellStyle name="Обычный 145" xfId="1125"/>
    <cellStyle name="Обычный 145 2" xfId="1126"/>
    <cellStyle name="Обычный 145 2 2" xfId="1127"/>
    <cellStyle name="Обычный 145 3" xfId="1128"/>
    <cellStyle name="Обычный 145 4" xfId="1129"/>
    <cellStyle name="Обычный 146" xfId="1130"/>
    <cellStyle name="Обычный 146 2" xfId="1131"/>
    <cellStyle name="Обычный 146 2 2" xfId="1132"/>
    <cellStyle name="Обычный 146 3" xfId="1133"/>
    <cellStyle name="Обычный 146 4" xfId="1134"/>
    <cellStyle name="Обычный 147" xfId="1135"/>
    <cellStyle name="Обычный 147 2" xfId="1136"/>
    <cellStyle name="Обычный 147 2 2" xfId="1137"/>
    <cellStyle name="Обычный 147 3" xfId="1138"/>
    <cellStyle name="Обычный 147 4" xfId="1139"/>
    <cellStyle name="Обычный 148" xfId="1140"/>
    <cellStyle name="Обычный 148 2" xfId="1141"/>
    <cellStyle name="Обычный 148 2 2" xfId="1142"/>
    <cellStyle name="Обычный 148 3" xfId="1143"/>
    <cellStyle name="Обычный 148 4" xfId="1144"/>
    <cellStyle name="Обычный 149" xfId="1145"/>
    <cellStyle name="Обычный 149 2" xfId="1146"/>
    <cellStyle name="Обычный 149 2 2" xfId="1147"/>
    <cellStyle name="Обычный 149 3" xfId="1148"/>
    <cellStyle name="Обычный 149 4" xfId="1149"/>
    <cellStyle name="Обычный 15" xfId="1150"/>
    <cellStyle name="Обычный 15 2" xfId="1151"/>
    <cellStyle name="Обычный 15 2 2" xfId="1152"/>
    <cellStyle name="Обычный 15 3" xfId="1153"/>
    <cellStyle name="Обычный 15 4" xfId="1154"/>
    <cellStyle name="Обычный 150" xfId="1155"/>
    <cellStyle name="Обычный 150 2" xfId="1156"/>
    <cellStyle name="Обычный 150 2 2" xfId="1157"/>
    <cellStyle name="Обычный 150 3" xfId="1158"/>
    <cellStyle name="Обычный 150 4" xfId="1159"/>
    <cellStyle name="Обычный 151" xfId="1160"/>
    <cellStyle name="Обычный 151 2" xfId="1161"/>
    <cellStyle name="Обычный 151 2 2" xfId="1162"/>
    <cellStyle name="Обычный 151 3" xfId="1163"/>
    <cellStyle name="Обычный 151 4" xfId="1164"/>
    <cellStyle name="Обычный 152" xfId="1165"/>
    <cellStyle name="Обычный 152 2" xfId="1166"/>
    <cellStyle name="Обычный 152 2 2" xfId="1167"/>
    <cellStyle name="Обычный 152 3" xfId="1168"/>
    <cellStyle name="Обычный 152 4" xfId="1169"/>
    <cellStyle name="Обычный 153" xfId="1170"/>
    <cellStyle name="Обычный 153 2" xfId="1171"/>
    <cellStyle name="Обычный 153 2 2" xfId="1172"/>
    <cellStyle name="Обычный 153 3" xfId="1173"/>
    <cellStyle name="Обычный 153 4" xfId="1174"/>
    <cellStyle name="Обычный 154" xfId="1175"/>
    <cellStyle name="Обычный 154 2" xfId="1176"/>
    <cellStyle name="Обычный 154 2 2" xfId="1177"/>
    <cellStyle name="Обычный 154 3" xfId="1178"/>
    <cellStyle name="Обычный 154 4" xfId="1179"/>
    <cellStyle name="Обычный 155" xfId="1180"/>
    <cellStyle name="Обычный 155 2" xfId="1181"/>
    <cellStyle name="Обычный 155 2 2" xfId="1182"/>
    <cellStyle name="Обычный 155 3" xfId="1183"/>
    <cellStyle name="Обычный 155 4" xfId="1184"/>
    <cellStyle name="Обычный 156" xfId="1185"/>
    <cellStyle name="Обычный 156 2" xfId="1186"/>
    <cellStyle name="Обычный 156 2 2" xfId="1187"/>
    <cellStyle name="Обычный 156 3" xfId="1188"/>
    <cellStyle name="Обычный 156 4" xfId="1189"/>
    <cellStyle name="Обычный 157" xfId="1190"/>
    <cellStyle name="Обычный 157 2" xfId="1191"/>
    <cellStyle name="Обычный 157 2 2" xfId="1192"/>
    <cellStyle name="Обычный 157 3" xfId="1193"/>
    <cellStyle name="Обычный 157 4" xfId="1194"/>
    <cellStyle name="Обычный 158" xfId="1195"/>
    <cellStyle name="Обычный 158 2" xfId="1196"/>
    <cellStyle name="Обычный 158 2 2" xfId="1197"/>
    <cellStyle name="Обычный 158 3" xfId="1198"/>
    <cellStyle name="Обычный 158 4" xfId="1199"/>
    <cellStyle name="Обычный 159" xfId="1200"/>
    <cellStyle name="Обычный 159 2" xfId="1201"/>
    <cellStyle name="Обычный 159 2 2" xfId="1202"/>
    <cellStyle name="Обычный 159 3" xfId="1203"/>
    <cellStyle name="Обычный 159 4" xfId="1204"/>
    <cellStyle name="Обычный 16" xfId="1205"/>
    <cellStyle name="Обычный 16 2" xfId="1206"/>
    <cellStyle name="Обычный 16 2 2" xfId="1207"/>
    <cellStyle name="Обычный 16 3" xfId="1208"/>
    <cellStyle name="Обычный 16 4" xfId="1209"/>
    <cellStyle name="Обычный 160" xfId="1210"/>
    <cellStyle name="Обычный 160 2" xfId="1211"/>
    <cellStyle name="Обычный 160 2 2" xfId="1212"/>
    <cellStyle name="Обычный 160 3" xfId="1213"/>
    <cellStyle name="Обычный 160 4" xfId="1214"/>
    <cellStyle name="Обычный 161" xfId="1215"/>
    <cellStyle name="Обычный 161 2" xfId="1216"/>
    <cellStyle name="Обычный 161 2 2" xfId="1217"/>
    <cellStyle name="Обычный 161 3" xfId="1218"/>
    <cellStyle name="Обычный 161 4" xfId="1219"/>
    <cellStyle name="Обычный 162" xfId="1220"/>
    <cellStyle name="Обычный 162 2" xfId="1221"/>
    <cellStyle name="Обычный 162 2 2" xfId="1222"/>
    <cellStyle name="Обычный 162 3" xfId="1223"/>
    <cellStyle name="Обычный 162 4" xfId="1224"/>
    <cellStyle name="Обычный 163" xfId="1225"/>
    <cellStyle name="Обычный 163 2" xfId="1226"/>
    <cellStyle name="Обычный 163 2 2" xfId="1227"/>
    <cellStyle name="Обычный 163 3" xfId="1228"/>
    <cellStyle name="Обычный 163 4" xfId="1229"/>
    <cellStyle name="Обычный 164" xfId="1230"/>
    <cellStyle name="Обычный 164 2" xfId="1231"/>
    <cellStyle name="Обычный 164 2 2" xfId="1232"/>
    <cellStyle name="Обычный 164 3" xfId="1233"/>
    <cellStyle name="Обычный 164 4" xfId="1234"/>
    <cellStyle name="Обычный 165" xfId="1235"/>
    <cellStyle name="Обычный 165 2" xfId="1236"/>
    <cellStyle name="Обычный 165 2 2" xfId="1237"/>
    <cellStyle name="Обычный 165 3" xfId="1238"/>
    <cellStyle name="Обычный 165 4" xfId="1239"/>
    <cellStyle name="Обычный 166" xfId="1240"/>
    <cellStyle name="Обычный 166 2" xfId="1241"/>
    <cellStyle name="Обычный 166 2 2" xfId="1242"/>
    <cellStyle name="Обычный 166 3" xfId="1243"/>
    <cellStyle name="Обычный 166 4" xfId="1244"/>
    <cellStyle name="Обычный 167" xfId="1245"/>
    <cellStyle name="Обычный 167 2" xfId="1246"/>
    <cellStyle name="Обычный 167 2 2" xfId="1247"/>
    <cellStyle name="Обычный 167 3" xfId="1248"/>
    <cellStyle name="Обычный 167 4" xfId="1249"/>
    <cellStyle name="Обычный 168" xfId="1250"/>
    <cellStyle name="Обычный 168 2" xfId="1251"/>
    <cellStyle name="Обычный 168 2 2" xfId="1252"/>
    <cellStyle name="Обычный 168 3" xfId="1253"/>
    <cellStyle name="Обычный 168 4" xfId="1254"/>
    <cellStyle name="Обычный 169" xfId="1255"/>
    <cellStyle name="Обычный 169 2" xfId="1256"/>
    <cellStyle name="Обычный 169 2 2" xfId="1257"/>
    <cellStyle name="Обычный 169 3" xfId="1258"/>
    <cellStyle name="Обычный 169 4" xfId="1259"/>
    <cellStyle name="Обычный 17" xfId="1260"/>
    <cellStyle name="Обычный 17 2" xfId="1261"/>
    <cellStyle name="Обычный 17 2 2" xfId="1262"/>
    <cellStyle name="Обычный 17 3" xfId="1263"/>
    <cellStyle name="Обычный 17 4" xfId="1264"/>
    <cellStyle name="Обычный 170" xfId="1265"/>
    <cellStyle name="Обычный 170 2" xfId="1266"/>
    <cellStyle name="Обычный 170 2 2" xfId="1267"/>
    <cellStyle name="Обычный 170 3" xfId="1268"/>
    <cellStyle name="Обычный 170 4" xfId="1269"/>
    <cellStyle name="Обычный 171" xfId="1270"/>
    <cellStyle name="Обычный 171 2" xfId="1271"/>
    <cellStyle name="Обычный 171 2 2" xfId="1272"/>
    <cellStyle name="Обычный 171 3" xfId="1273"/>
    <cellStyle name="Обычный 171 4" xfId="1274"/>
    <cellStyle name="Обычный 172" xfId="1275"/>
    <cellStyle name="Обычный 172 2" xfId="1276"/>
    <cellStyle name="Обычный 172 2 2" xfId="1277"/>
    <cellStyle name="Обычный 172 3" xfId="1278"/>
    <cellStyle name="Обычный 172 4" xfId="1279"/>
    <cellStyle name="Обычный 173" xfId="1280"/>
    <cellStyle name="Обычный 173 2" xfId="1281"/>
    <cellStyle name="Обычный 173 2 2" xfId="1282"/>
    <cellStyle name="Обычный 173 3" xfId="1283"/>
    <cellStyle name="Обычный 173 4" xfId="1284"/>
    <cellStyle name="Обычный 174" xfId="1285"/>
    <cellStyle name="Обычный 174 2" xfId="1286"/>
    <cellStyle name="Обычный 174 2 2" xfId="1287"/>
    <cellStyle name="Обычный 174 3" xfId="1288"/>
    <cellStyle name="Обычный 174 4" xfId="1289"/>
    <cellStyle name="Обычный 175" xfId="1290"/>
    <cellStyle name="Обычный 175 2" xfId="1291"/>
    <cellStyle name="Обычный 175 2 2" xfId="1292"/>
    <cellStyle name="Обычный 175 3" xfId="1293"/>
    <cellStyle name="Обычный 175 4" xfId="1294"/>
    <cellStyle name="Обычный 176" xfId="1295"/>
    <cellStyle name="Обычный 176 2" xfId="1296"/>
    <cellStyle name="Обычный 176 2 2" xfId="1297"/>
    <cellStyle name="Обычный 176 3" xfId="1298"/>
    <cellStyle name="Обычный 176 4" xfId="1299"/>
    <cellStyle name="Обычный 177" xfId="1300"/>
    <cellStyle name="Обычный 177 2" xfId="1301"/>
    <cellStyle name="Обычный 177 2 2" xfId="1302"/>
    <cellStyle name="Обычный 177 3" xfId="1303"/>
    <cellStyle name="Обычный 177 4" xfId="1304"/>
    <cellStyle name="Обычный 178" xfId="1305"/>
    <cellStyle name="Обычный 178 2" xfId="1306"/>
    <cellStyle name="Обычный 178 2 2" xfId="1307"/>
    <cellStyle name="Обычный 178 3" xfId="1308"/>
    <cellStyle name="Обычный 178 4" xfId="1309"/>
    <cellStyle name="Обычный 179" xfId="1310"/>
    <cellStyle name="Обычный 179 2" xfId="1311"/>
    <cellStyle name="Обычный 179 2 2" xfId="1312"/>
    <cellStyle name="Обычный 179 3" xfId="1313"/>
    <cellStyle name="Обычный 179 4" xfId="1314"/>
    <cellStyle name="Обычный 18" xfId="1315"/>
    <cellStyle name="Обычный 18 2" xfId="1316"/>
    <cellStyle name="Обычный 18 2 2" xfId="1317"/>
    <cellStyle name="Обычный 18 3" xfId="1318"/>
    <cellStyle name="Обычный 18 4" xfId="1319"/>
    <cellStyle name="Обычный 180" xfId="1320"/>
    <cellStyle name="Обычный 180 2" xfId="1321"/>
    <cellStyle name="Обычный 180 2 2" xfId="1322"/>
    <cellStyle name="Обычный 180 3" xfId="1323"/>
    <cellStyle name="Обычный 180 4" xfId="1324"/>
    <cellStyle name="Обычный 181" xfId="1325"/>
    <cellStyle name="Обычный 181 2" xfId="1326"/>
    <cellStyle name="Обычный 181 2 2" xfId="1327"/>
    <cellStyle name="Обычный 181 3" xfId="1328"/>
    <cellStyle name="Обычный 181 4" xfId="1329"/>
    <cellStyle name="Обычный 182" xfId="1330"/>
    <cellStyle name="Обычный 182 2" xfId="1331"/>
    <cellStyle name="Обычный 182 2 2" xfId="1332"/>
    <cellStyle name="Обычный 182 3" xfId="1333"/>
    <cellStyle name="Обычный 182 4" xfId="1334"/>
    <cellStyle name="Обычный 183" xfId="1335"/>
    <cellStyle name="Обычный 183 2" xfId="1336"/>
    <cellStyle name="Обычный 183 2 2" xfId="1337"/>
    <cellStyle name="Обычный 183 3" xfId="1338"/>
    <cellStyle name="Обычный 183 4" xfId="1339"/>
    <cellStyle name="Обычный 184" xfId="1340"/>
    <cellStyle name="Обычный 184 2" xfId="1341"/>
    <cellStyle name="Обычный 184 2 2" xfId="1342"/>
    <cellStyle name="Обычный 184 3" xfId="1343"/>
    <cellStyle name="Обычный 184 4" xfId="1344"/>
    <cellStyle name="Обычный 185" xfId="1345"/>
    <cellStyle name="Обычный 185 2" xfId="1346"/>
    <cellStyle name="Обычный 185 2 2" xfId="1347"/>
    <cellStyle name="Обычный 185 3" xfId="1348"/>
    <cellStyle name="Обычный 185 4" xfId="1349"/>
    <cellStyle name="Обычный 186" xfId="1350"/>
    <cellStyle name="Обычный 186 2" xfId="1351"/>
    <cellStyle name="Обычный 186 2 2" xfId="1352"/>
    <cellStyle name="Обычный 186 3" xfId="1353"/>
    <cellStyle name="Обычный 186 4" xfId="1354"/>
    <cellStyle name="Обычный 187" xfId="1355"/>
    <cellStyle name="Обычный 187 2" xfId="1356"/>
    <cellStyle name="Обычный 187 2 2" xfId="1357"/>
    <cellStyle name="Обычный 187 3" xfId="1358"/>
    <cellStyle name="Обычный 187 4" xfId="1359"/>
    <cellStyle name="Обычный 188" xfId="1360"/>
    <cellStyle name="Обычный 188 2" xfId="1361"/>
    <cellStyle name="Обычный 188 2 2" xfId="1362"/>
    <cellStyle name="Обычный 188 3" xfId="1363"/>
    <cellStyle name="Обычный 188 4" xfId="1364"/>
    <cellStyle name="Обычный 189" xfId="1365"/>
    <cellStyle name="Обычный 189 2" xfId="1366"/>
    <cellStyle name="Обычный 189 2 2" xfId="1367"/>
    <cellStyle name="Обычный 189 3" xfId="1368"/>
    <cellStyle name="Обычный 189 4" xfId="1369"/>
    <cellStyle name="Обычный 19" xfId="1370"/>
    <cellStyle name="Обычный 19 2" xfId="1371"/>
    <cellStyle name="Обычный 19 2 2" xfId="1372"/>
    <cellStyle name="Обычный 19 3" xfId="1373"/>
    <cellStyle name="Обычный 19 4" xfId="1374"/>
    <cellStyle name="Обычный 190" xfId="1375"/>
    <cellStyle name="Обычный 190 2" xfId="1376"/>
    <cellStyle name="Обычный 190 2 2" xfId="1377"/>
    <cellStyle name="Обычный 190 3" xfId="1378"/>
    <cellStyle name="Обычный 190 4" xfId="1379"/>
    <cellStyle name="Обычный 191" xfId="1380"/>
    <cellStyle name="Обычный 191 2" xfId="1381"/>
    <cellStyle name="Обычный 191 2 2" xfId="1382"/>
    <cellStyle name="Обычный 191 3" xfId="1383"/>
    <cellStyle name="Обычный 191 4" xfId="1384"/>
    <cellStyle name="Обычный 192" xfId="1385"/>
    <cellStyle name="Обычный 192 2" xfId="1386"/>
    <cellStyle name="Обычный 192 2 2" xfId="1387"/>
    <cellStyle name="Обычный 192 3" xfId="1388"/>
    <cellStyle name="Обычный 192 4" xfId="1389"/>
    <cellStyle name="Обычный 193" xfId="1390"/>
    <cellStyle name="Обычный 193 2" xfId="1391"/>
    <cellStyle name="Обычный 193 2 2" xfId="1392"/>
    <cellStyle name="Обычный 193 3" xfId="1393"/>
    <cellStyle name="Обычный 193 4" xfId="1394"/>
    <cellStyle name="Обычный 194" xfId="1395"/>
    <cellStyle name="Обычный 194 2" xfId="1396"/>
    <cellStyle name="Обычный 194 2 2" xfId="1397"/>
    <cellStyle name="Обычный 194 3" xfId="1398"/>
    <cellStyle name="Обычный 194 4" xfId="1399"/>
    <cellStyle name="Обычный 195" xfId="1400"/>
    <cellStyle name="Обычный 195 2" xfId="1401"/>
    <cellStyle name="Обычный 195 2 2" xfId="1402"/>
    <cellStyle name="Обычный 195 3" xfId="1403"/>
    <cellStyle name="Обычный 195 4" xfId="1404"/>
    <cellStyle name="Обычный 196" xfId="1405"/>
    <cellStyle name="Обычный 196 2" xfId="1406"/>
    <cellStyle name="Обычный 196 2 2" xfId="1407"/>
    <cellStyle name="Обычный 196 3" xfId="1408"/>
    <cellStyle name="Обычный 196 4" xfId="1409"/>
    <cellStyle name="Обычный 197" xfId="1410"/>
    <cellStyle name="Обычный 197 2" xfId="1411"/>
    <cellStyle name="Обычный 197 2 2" xfId="1412"/>
    <cellStyle name="Обычный 197 3" xfId="1413"/>
    <cellStyle name="Обычный 197 4" xfId="1414"/>
    <cellStyle name="Обычный 198" xfId="1415"/>
    <cellStyle name="Обычный 198 2" xfId="1416"/>
    <cellStyle name="Обычный 198 2 2" xfId="1417"/>
    <cellStyle name="Обычный 198 3" xfId="1418"/>
    <cellStyle name="Обычный 198 4" xfId="1419"/>
    <cellStyle name="Обычный 199" xfId="1420"/>
    <cellStyle name="Обычный 199 2" xfId="1421"/>
    <cellStyle name="Обычный 199 2 2" xfId="1422"/>
    <cellStyle name="Обычный 199 3" xfId="1423"/>
    <cellStyle name="Обычный 199 4" xfId="1424"/>
    <cellStyle name="Обычный 2" xfId="1425"/>
    <cellStyle name="Обычный 2 10" xfId="1426"/>
    <cellStyle name="Обычный 2 10 2" xfId="1427"/>
    <cellStyle name="Обычный 2 11" xfId="1428"/>
    <cellStyle name="Обычный 2 12" xfId="1429"/>
    <cellStyle name="Обычный 2 13" xfId="1430"/>
    <cellStyle name="Обычный 2 2" xfId="1431"/>
    <cellStyle name="Обычный 2 2 2" xfId="1432"/>
    <cellStyle name="Обычный 2 2 2 2" xfId="1433"/>
    <cellStyle name="Обычный 2 2 2 3" xfId="1434"/>
    <cellStyle name="Обычный 2 2 2 4" xfId="1435"/>
    <cellStyle name="Обычный 2 2 2 5" xfId="1436"/>
    <cellStyle name="Обычный 2 2 3" xfId="1437"/>
    <cellStyle name="Обычный 2 2 3 2" xfId="1438"/>
    <cellStyle name="Обычный 2 2 3 3" xfId="1439"/>
    <cellStyle name="Обычный 2 2 4" xfId="1440"/>
    <cellStyle name="Обычный 2 2 5" xfId="1441"/>
    <cellStyle name="Обычный 2 3" xfId="1442"/>
    <cellStyle name="Обычный 2 3 2" xfId="1443"/>
    <cellStyle name="Обычный 2 3 2 2" xfId="1444"/>
    <cellStyle name="Обычный 2 3 2 2 2" xfId="1445"/>
    <cellStyle name="Обычный 2 3 2 2 2 2" xfId="1446"/>
    <cellStyle name="Обычный 2 3 2 2 2 2 2" xfId="1447"/>
    <cellStyle name="Обычный 2 3 2 2 2 3" xfId="1448"/>
    <cellStyle name="Обычный 2 3 2 2 3" xfId="1449"/>
    <cellStyle name="Обычный 2 3 2 2 3 2" xfId="1450"/>
    <cellStyle name="Обычный 2 3 2 2 4" xfId="1451"/>
    <cellStyle name="Обычный 2 3 2 3" xfId="1452"/>
    <cellStyle name="Обычный 2 3 2 3 2" xfId="1453"/>
    <cellStyle name="Обычный 2 3 2 3 2 2" xfId="1454"/>
    <cellStyle name="Обычный 2 3 2 3 3" xfId="1455"/>
    <cellStyle name="Обычный 2 3 2 4" xfId="1456"/>
    <cellStyle name="Обычный 2 3 2 4 2" xfId="1457"/>
    <cellStyle name="Обычный 2 3 2 5" xfId="1458"/>
    <cellStyle name="Обычный 2 3 2 6" xfId="1459"/>
    <cellStyle name="Обычный 2 3 2 7" xfId="1460"/>
    <cellStyle name="Обычный 2 3 3" xfId="1461"/>
    <cellStyle name="Обычный 2 3 3 2" xfId="1462"/>
    <cellStyle name="Обычный 2 3 3 2 2" xfId="1463"/>
    <cellStyle name="Обычный 2 3 3 2 2 2" xfId="1464"/>
    <cellStyle name="Обычный 2 3 3 2 3" xfId="1465"/>
    <cellStyle name="Обычный 2 3 3 3" xfId="1466"/>
    <cellStyle name="Обычный 2 3 3 3 2" xfId="1467"/>
    <cellStyle name="Обычный 2 3 3 4" xfId="1468"/>
    <cellStyle name="Обычный 2 3 3 5" xfId="1469"/>
    <cellStyle name="Обычный 2 3 4" xfId="1470"/>
    <cellStyle name="Обычный 2 3 4 2" xfId="1471"/>
    <cellStyle name="Обычный 2 3 4 2 2" xfId="1472"/>
    <cellStyle name="Обычный 2 3 4 3" xfId="1473"/>
    <cellStyle name="Обычный 2 3 5" xfId="1474"/>
    <cellStyle name="Обычный 2 3 5 2" xfId="1475"/>
    <cellStyle name="Обычный 2 3 6" xfId="1476"/>
    <cellStyle name="Обычный 2 3 7" xfId="1477"/>
    <cellStyle name="Обычный 2 4" xfId="1478"/>
    <cellStyle name="Обычный 2 4 2" xfId="1479"/>
    <cellStyle name="Обычный 2 4 2 2" xfId="1480"/>
    <cellStyle name="Обычный 2 4 2 2 2" xfId="1481"/>
    <cellStyle name="Обычный 2 4 2 2 2 2" xfId="1482"/>
    <cellStyle name="Обычный 2 4 2 2 3" xfId="1483"/>
    <cellStyle name="Обычный 2 4 2 3" xfId="1484"/>
    <cellStyle name="Обычный 2 4 2 3 2" xfId="1485"/>
    <cellStyle name="Обычный 2 4 2 4" xfId="1486"/>
    <cellStyle name="Обычный 2 4 3" xfId="1487"/>
    <cellStyle name="Обычный 2 4 3 2" xfId="1488"/>
    <cellStyle name="Обычный 2 4 3 2 2" xfId="1489"/>
    <cellStyle name="Обычный 2 4 3 3" xfId="1490"/>
    <cellStyle name="Обычный 2 4 4" xfId="1491"/>
    <cellStyle name="Обычный 2 4 4 2" xfId="1492"/>
    <cellStyle name="Обычный 2 4 5" xfId="1493"/>
    <cellStyle name="Обычный 2 4 6" xfId="1494"/>
    <cellStyle name="Обычный 2 5" xfId="1495"/>
    <cellStyle name="Обычный 2 5 2" xfId="1496"/>
    <cellStyle name="Обычный 2 5 2 2" xfId="1497"/>
    <cellStyle name="Обычный 2 5 2 2 2" xfId="1498"/>
    <cellStyle name="Обычный 2 5 2 3" xfId="1499"/>
    <cellStyle name="Обычный 2 5 2 4" xfId="1500"/>
    <cellStyle name="Обычный 2 5 3" xfId="1501"/>
    <cellStyle name="Обычный 2 5 3 2" xfId="1502"/>
    <cellStyle name="Обычный 2 5 3 3" xfId="1503"/>
    <cellStyle name="Обычный 2 5 4" xfId="1504"/>
    <cellStyle name="Обычный 2 5 5" xfId="1505"/>
    <cellStyle name="Обычный 2 6" xfId="1506"/>
    <cellStyle name="Обычный 2 6 2" xfId="1507"/>
    <cellStyle name="Обычный 2 6 2 2" xfId="1508"/>
    <cellStyle name="Обычный 2 6 2 2 2" xfId="1509"/>
    <cellStyle name="Обычный 2 6 2 3" xfId="1510"/>
    <cellStyle name="Обычный 2 6 2 4" xfId="1511"/>
    <cellStyle name="Обычный 2 6 3" xfId="1512"/>
    <cellStyle name="Обычный 2 6 3 2" xfId="1513"/>
    <cellStyle name="Обычный 2 6 4" xfId="1514"/>
    <cellStyle name="Обычный 2 7" xfId="1515"/>
    <cellStyle name="Обычный 2 7 2" xfId="1516"/>
    <cellStyle name="Обычный 2 7 2 2" xfId="1517"/>
    <cellStyle name="Обычный 2 7 2 2 2" xfId="1518"/>
    <cellStyle name="Обычный 2 7 2 3" xfId="1519"/>
    <cellStyle name="Обычный 2 7 3" xfId="1520"/>
    <cellStyle name="Обычный 2 7 3 2" xfId="1521"/>
    <cellStyle name="Обычный 2 7 4" xfId="1522"/>
    <cellStyle name="Обычный 2 8" xfId="1523"/>
    <cellStyle name="Обычный 2 8 2" xfId="1524"/>
    <cellStyle name="Обычный 2 8 2 2" xfId="1525"/>
    <cellStyle name="Обычный 2 8 3" xfId="1526"/>
    <cellStyle name="Обычный 2 9" xfId="1527"/>
    <cellStyle name="Обычный 2 9 2" xfId="1528"/>
    <cellStyle name="Обычный 2 9 2 2" xfId="1529"/>
    <cellStyle name="Обычный 2 9 3" xfId="1530"/>
    <cellStyle name="Обычный 20" xfId="1531"/>
    <cellStyle name="Обычный 20 2" xfId="1532"/>
    <cellStyle name="Обычный 20 2 2" xfId="1533"/>
    <cellStyle name="Обычный 20 3" xfId="1534"/>
    <cellStyle name="Обычный 20 4" xfId="1535"/>
    <cellStyle name="Обычный 200" xfId="1536"/>
    <cellStyle name="Обычный 200 2" xfId="1537"/>
    <cellStyle name="Обычный 200 2 2" xfId="1538"/>
    <cellStyle name="Обычный 200 3" xfId="1539"/>
    <cellStyle name="Обычный 200 4" xfId="1540"/>
    <cellStyle name="Обычный 201" xfId="1541"/>
    <cellStyle name="Обычный 201 2" xfId="1542"/>
    <cellStyle name="Обычный 201 2 2" xfId="1543"/>
    <cellStyle name="Обычный 201 3" xfId="1544"/>
    <cellStyle name="Обычный 201 4" xfId="1545"/>
    <cellStyle name="Обычный 202" xfId="1546"/>
    <cellStyle name="Обычный 202 2" xfId="1547"/>
    <cellStyle name="Обычный 202 2 2" xfId="1548"/>
    <cellStyle name="Обычный 202 3" xfId="1549"/>
    <cellStyle name="Обычный 202 4" xfId="1550"/>
    <cellStyle name="Обычный 203" xfId="1551"/>
    <cellStyle name="Обычный 203 2" xfId="1552"/>
    <cellStyle name="Обычный 203 2 2" xfId="1553"/>
    <cellStyle name="Обычный 203 3" xfId="1554"/>
    <cellStyle name="Обычный 203 4" xfId="1555"/>
    <cellStyle name="Обычный 204" xfId="1556"/>
    <cellStyle name="Обычный 204 2" xfId="1557"/>
    <cellStyle name="Обычный 204 2 2" xfId="1558"/>
    <cellStyle name="Обычный 204 3" xfId="1559"/>
    <cellStyle name="Обычный 204 4" xfId="1560"/>
    <cellStyle name="Обычный 205" xfId="1561"/>
    <cellStyle name="Обычный 205 2" xfId="1562"/>
    <cellStyle name="Обычный 205 2 2" xfId="1563"/>
    <cellStyle name="Обычный 205 3" xfId="1564"/>
    <cellStyle name="Обычный 205 4" xfId="1565"/>
    <cellStyle name="Обычный 206" xfId="1566"/>
    <cellStyle name="Обычный 207" xfId="1567"/>
    <cellStyle name="Обычный 207 2" xfId="1568"/>
    <cellStyle name="Обычный 207 2 2" xfId="1569"/>
    <cellStyle name="Обычный 207 3" xfId="1570"/>
    <cellStyle name="Обычный 207 4" xfId="1571"/>
    <cellStyle name="Обычный 208" xfId="1572"/>
    <cellStyle name="Обычный 208 2" xfId="1573"/>
    <cellStyle name="Обычный 208 2 2" xfId="1574"/>
    <cellStyle name="Обычный 208 3" xfId="1575"/>
    <cellStyle name="Обычный 208 4" xfId="1576"/>
    <cellStyle name="Обычный 209" xfId="1577"/>
    <cellStyle name="Обычный 209 2" xfId="1578"/>
    <cellStyle name="Обычный 209 2 2" xfId="1579"/>
    <cellStyle name="Обычный 209 3" xfId="1580"/>
    <cellStyle name="Обычный 209 4" xfId="1581"/>
    <cellStyle name="Обычный 21" xfId="1582"/>
    <cellStyle name="Обычный 21 2" xfId="1583"/>
    <cellStyle name="Обычный 21 2 2" xfId="1584"/>
    <cellStyle name="Обычный 21 3" xfId="1585"/>
    <cellStyle name="Обычный 21 4" xfId="1586"/>
    <cellStyle name="Обычный 210" xfId="1587"/>
    <cellStyle name="Обычный 210 2" xfId="1588"/>
    <cellStyle name="Обычный 210 2 2" xfId="1589"/>
    <cellStyle name="Обычный 210 3" xfId="1590"/>
    <cellStyle name="Обычный 210 4" xfId="1591"/>
    <cellStyle name="Обычный 211" xfId="1592"/>
    <cellStyle name="Обычный 211 2" xfId="1593"/>
    <cellStyle name="Обычный 211 2 2" xfId="1594"/>
    <cellStyle name="Обычный 211 3" xfId="1595"/>
    <cellStyle name="Обычный 211 4" xfId="1596"/>
    <cellStyle name="Обычный 212" xfId="1597"/>
    <cellStyle name="Обычный 212 2" xfId="1598"/>
    <cellStyle name="Обычный 212 2 2" xfId="1599"/>
    <cellStyle name="Обычный 212 3" xfId="1600"/>
    <cellStyle name="Обычный 212 4" xfId="1601"/>
    <cellStyle name="Обычный 213" xfId="1602"/>
    <cellStyle name="Обычный 213 2" xfId="1603"/>
    <cellStyle name="Обычный 213 2 2" xfId="1604"/>
    <cellStyle name="Обычный 213 3" xfId="1605"/>
    <cellStyle name="Обычный 213 4" xfId="1606"/>
    <cellStyle name="Обычный 214" xfId="1607"/>
    <cellStyle name="Обычный 214 2" xfId="1608"/>
    <cellStyle name="Обычный 214 2 2" xfId="1609"/>
    <cellStyle name="Обычный 214 3" xfId="1610"/>
    <cellStyle name="Обычный 214 4" xfId="1611"/>
    <cellStyle name="Обычный 215" xfId="1612"/>
    <cellStyle name="Обычный 215 2" xfId="1613"/>
    <cellStyle name="Обычный 215 2 2" xfId="1614"/>
    <cellStyle name="Обычный 215 3" xfId="1615"/>
    <cellStyle name="Обычный 215 4" xfId="1616"/>
    <cellStyle name="Обычный 216" xfId="1617"/>
    <cellStyle name="Обычный 216 2" xfId="1618"/>
    <cellStyle name="Обычный 216 2 2" xfId="1619"/>
    <cellStyle name="Обычный 216 3" xfId="1620"/>
    <cellStyle name="Обычный 216 4" xfId="1621"/>
    <cellStyle name="Обычный 217" xfId="1622"/>
    <cellStyle name="Обычный 217 2" xfId="1623"/>
    <cellStyle name="Обычный 217 2 2" xfId="1624"/>
    <cellStyle name="Обычный 217 3" xfId="1625"/>
    <cellStyle name="Обычный 217 4" xfId="1626"/>
    <cellStyle name="Обычный 218" xfId="1627"/>
    <cellStyle name="Обычный 218 2" xfId="1628"/>
    <cellStyle name="Обычный 218 2 2" xfId="1629"/>
    <cellStyle name="Обычный 218 3" xfId="1630"/>
    <cellStyle name="Обычный 218 4" xfId="1631"/>
    <cellStyle name="Обычный 219" xfId="1632"/>
    <cellStyle name="Обычный 219 2" xfId="1633"/>
    <cellStyle name="Обычный 219 2 2" xfId="1634"/>
    <cellStyle name="Обычный 219 3" xfId="1635"/>
    <cellStyle name="Обычный 219 4" xfId="1636"/>
    <cellStyle name="Обычный 22" xfId="1637"/>
    <cellStyle name="Обычный 22 2" xfId="1638"/>
    <cellStyle name="Обычный 22 2 2" xfId="1639"/>
    <cellStyle name="Обычный 22 3" xfId="1640"/>
    <cellStyle name="Обычный 22 4" xfId="1641"/>
    <cellStyle name="Обычный 22 5" xfId="1642"/>
    <cellStyle name="Обычный 220" xfId="1643"/>
    <cellStyle name="Обычный 220 2" xfId="1644"/>
    <cellStyle name="Обычный 220 2 2" xfId="1645"/>
    <cellStyle name="Обычный 220 3" xfId="1646"/>
    <cellStyle name="Обычный 220 4" xfId="1647"/>
    <cellStyle name="Обычный 221" xfId="1648"/>
    <cellStyle name="Обычный 221 2" xfId="1649"/>
    <cellStyle name="Обычный 221 2 2" xfId="1650"/>
    <cellStyle name="Обычный 221 3" xfId="1651"/>
    <cellStyle name="Обычный 221 4" xfId="1652"/>
    <cellStyle name="Обычный 222" xfId="1653"/>
    <cellStyle name="Обычный 222 2" xfId="1654"/>
    <cellStyle name="Обычный 222 2 2" xfId="1655"/>
    <cellStyle name="Обычный 222 3" xfId="1656"/>
    <cellStyle name="Обычный 222 4" xfId="1657"/>
    <cellStyle name="Обычный 223" xfId="1658"/>
    <cellStyle name="Обычный 223 2" xfId="1659"/>
    <cellStyle name="Обычный 223 2 2" xfId="1660"/>
    <cellStyle name="Обычный 223 3" xfId="1661"/>
    <cellStyle name="Обычный 223 4" xfId="1662"/>
    <cellStyle name="Обычный 224" xfId="1663"/>
    <cellStyle name="Обычный 224 2" xfId="1664"/>
    <cellStyle name="Обычный 224 2 2" xfId="1665"/>
    <cellStyle name="Обычный 224 3" xfId="1666"/>
    <cellStyle name="Обычный 224 4" xfId="1667"/>
    <cellStyle name="Обычный 225" xfId="1668"/>
    <cellStyle name="Обычный 225 2" xfId="1669"/>
    <cellStyle name="Обычный 225 2 2" xfId="1670"/>
    <cellStyle name="Обычный 225 3" xfId="1671"/>
    <cellStyle name="Обычный 225 4" xfId="1672"/>
    <cellStyle name="Обычный 226" xfId="1673"/>
    <cellStyle name="Обычный 226 2" xfId="1674"/>
    <cellStyle name="Обычный 226 2 2" xfId="1675"/>
    <cellStyle name="Обычный 226 3" xfId="1676"/>
    <cellStyle name="Обычный 226 4" xfId="1677"/>
    <cellStyle name="Обычный 227" xfId="1678"/>
    <cellStyle name="Обычный 227 2" xfId="1679"/>
    <cellStyle name="Обычный 227 2 2" xfId="1680"/>
    <cellStyle name="Обычный 227 3" xfId="1681"/>
    <cellStyle name="Обычный 227 4" xfId="1682"/>
    <cellStyle name="Обычный 228" xfId="1683"/>
    <cellStyle name="Обычный 228 2" xfId="1684"/>
    <cellStyle name="Обычный 228 2 2" xfId="1685"/>
    <cellStyle name="Обычный 228 3" xfId="1686"/>
    <cellStyle name="Обычный 228 4" xfId="1687"/>
    <cellStyle name="Обычный 229" xfId="1688"/>
    <cellStyle name="Обычный 229 2" xfId="1689"/>
    <cellStyle name="Обычный 229 2 2" xfId="1690"/>
    <cellStyle name="Обычный 229 3" xfId="1691"/>
    <cellStyle name="Обычный 229 4" xfId="1692"/>
    <cellStyle name="Обычный 23" xfId="1693"/>
    <cellStyle name="Обычный 23 2" xfId="1694"/>
    <cellStyle name="Обычный 23 2 2" xfId="1695"/>
    <cellStyle name="Обычный 23 3" xfId="1696"/>
    <cellStyle name="Обычный 23 4" xfId="1697"/>
    <cellStyle name="Обычный 230" xfId="1698"/>
    <cellStyle name="Обычный 230 2" xfId="1699"/>
    <cellStyle name="Обычный 230 2 2" xfId="1700"/>
    <cellStyle name="Обычный 230 3" xfId="1701"/>
    <cellStyle name="Обычный 230 4" xfId="1702"/>
    <cellStyle name="Обычный 231" xfId="1703"/>
    <cellStyle name="Обычный 231 2" xfId="1704"/>
    <cellStyle name="Обычный 231 2 2" xfId="1705"/>
    <cellStyle name="Обычный 231 3" xfId="1706"/>
    <cellStyle name="Обычный 231 4" xfId="1707"/>
    <cellStyle name="Обычный 232" xfId="1708"/>
    <cellStyle name="Обычный 232 2" xfId="1709"/>
    <cellStyle name="Обычный 232 2 2" xfId="1710"/>
    <cellStyle name="Обычный 232 3" xfId="1711"/>
    <cellStyle name="Обычный 232 4" xfId="1712"/>
    <cellStyle name="Обычный 233" xfId="1713"/>
    <cellStyle name="Обычный 233 2" xfId="1714"/>
    <cellStyle name="Обычный 233 2 2" xfId="1715"/>
    <cellStyle name="Обычный 233 3" xfId="1716"/>
    <cellStyle name="Обычный 233 4" xfId="1717"/>
    <cellStyle name="Обычный 234" xfId="1718"/>
    <cellStyle name="Обычный 234 2" xfId="1719"/>
    <cellStyle name="Обычный 234 2 2" xfId="1720"/>
    <cellStyle name="Обычный 234 3" xfId="1721"/>
    <cellStyle name="Обычный 234 4" xfId="1722"/>
    <cellStyle name="Обычный 235" xfId="1723"/>
    <cellStyle name="Обычный 235 2" xfId="1724"/>
    <cellStyle name="Обычный 235 2 2" xfId="1725"/>
    <cellStyle name="Обычный 235 3" xfId="1726"/>
    <cellStyle name="Обычный 235 4" xfId="1727"/>
    <cellStyle name="Обычный 236" xfId="1728"/>
    <cellStyle name="Обычный 236 2" xfId="1729"/>
    <cellStyle name="Обычный 236 2 2" xfId="1730"/>
    <cellStyle name="Обычный 236 3" xfId="1731"/>
    <cellStyle name="Обычный 236 4" xfId="1732"/>
    <cellStyle name="Обычный 237" xfId="1733"/>
    <cellStyle name="Обычный 237 2" xfId="1734"/>
    <cellStyle name="Обычный 237 2 2" xfId="1735"/>
    <cellStyle name="Обычный 237 3" xfId="1736"/>
    <cellStyle name="Обычный 237 4" xfId="1737"/>
    <cellStyle name="Обычный 238" xfId="1738"/>
    <cellStyle name="Обычный 238 2" xfId="1739"/>
    <cellStyle name="Обычный 238 2 2" xfId="1740"/>
    <cellStyle name="Обычный 238 3" xfId="1741"/>
    <cellStyle name="Обычный 238 4" xfId="1742"/>
    <cellStyle name="Обычный 239" xfId="1743"/>
    <cellStyle name="Обычный 239 2" xfId="1744"/>
    <cellStyle name="Обычный 239 2 2" xfId="1745"/>
    <cellStyle name="Обычный 239 3" xfId="1746"/>
    <cellStyle name="Обычный 239 4" xfId="1747"/>
    <cellStyle name="Обычный 24" xfId="1748"/>
    <cellStyle name="Обычный 24 2" xfId="1749"/>
    <cellStyle name="Обычный 24 2 2" xfId="1750"/>
    <cellStyle name="Обычный 24 3" xfId="1751"/>
    <cellStyle name="Обычный 24 4" xfId="1752"/>
    <cellStyle name="Обычный 240" xfId="1753"/>
    <cellStyle name="Обычный 240 2" xfId="1754"/>
    <cellStyle name="Обычный 240 2 2" xfId="1755"/>
    <cellStyle name="Обычный 240 3" xfId="1756"/>
    <cellStyle name="Обычный 240 4" xfId="1757"/>
    <cellStyle name="Обычный 241" xfId="1758"/>
    <cellStyle name="Обычный 241 2" xfId="1759"/>
    <cellStyle name="Обычный 241 2 2" xfId="1760"/>
    <cellStyle name="Обычный 241 3" xfId="1761"/>
    <cellStyle name="Обычный 241 4" xfId="1762"/>
    <cellStyle name="Обычный 242" xfId="1763"/>
    <cellStyle name="Обычный 242 2" xfId="1764"/>
    <cellStyle name="Обычный 242 2 2" xfId="1765"/>
    <cellStyle name="Обычный 242 3" xfId="1766"/>
    <cellStyle name="Обычный 242 4" xfId="1767"/>
    <cellStyle name="Обычный 243" xfId="1768"/>
    <cellStyle name="Обычный 243 2" xfId="1769"/>
    <cellStyle name="Обычный 243 2 2" xfId="1770"/>
    <cellStyle name="Обычный 243 3" xfId="1771"/>
    <cellStyle name="Обычный 243 4" xfId="1772"/>
    <cellStyle name="Обычный 244" xfId="1773"/>
    <cellStyle name="Обычный 244 2" xfId="1774"/>
    <cellStyle name="Обычный 244 2 2" xfId="1775"/>
    <cellStyle name="Обычный 244 3" xfId="1776"/>
    <cellStyle name="Обычный 244 4" xfId="1777"/>
    <cellStyle name="Обычный 245" xfId="1778"/>
    <cellStyle name="Обычный 245 2" xfId="1779"/>
    <cellStyle name="Обычный 245 2 2" xfId="1780"/>
    <cellStyle name="Обычный 245 3" xfId="1781"/>
    <cellStyle name="Обычный 245 4" xfId="1782"/>
    <cellStyle name="Обычный 246" xfId="1783"/>
    <cellStyle name="Обычный 246 2" xfId="1784"/>
    <cellStyle name="Обычный 246 2 2" xfId="1785"/>
    <cellStyle name="Обычный 246 3" xfId="1786"/>
    <cellStyle name="Обычный 246 4" xfId="1787"/>
    <cellStyle name="Обычный 247" xfId="1788"/>
    <cellStyle name="Обычный 247 2" xfId="1789"/>
    <cellStyle name="Обычный 247 2 2" xfId="1790"/>
    <cellStyle name="Обычный 247 3" xfId="1791"/>
    <cellStyle name="Обычный 247 4" xfId="1792"/>
    <cellStyle name="Обычный 248" xfId="1793"/>
    <cellStyle name="Обычный 248 2" xfId="1794"/>
    <cellStyle name="Обычный 248 2 2" xfId="1795"/>
    <cellStyle name="Обычный 248 3" xfId="1796"/>
    <cellStyle name="Обычный 248 4" xfId="1797"/>
    <cellStyle name="Обычный 249" xfId="1798"/>
    <cellStyle name="Обычный 249 2" xfId="1799"/>
    <cellStyle name="Обычный 249 2 2" xfId="1800"/>
    <cellStyle name="Обычный 249 3" xfId="1801"/>
    <cellStyle name="Обычный 249 4" xfId="1802"/>
    <cellStyle name="Обычный 25" xfId="1803"/>
    <cellStyle name="Обычный 25 2" xfId="1804"/>
    <cellStyle name="Обычный 25 2 2" xfId="1805"/>
    <cellStyle name="Обычный 25 3" xfId="1806"/>
    <cellStyle name="Обычный 25 4" xfId="1807"/>
    <cellStyle name="Обычный 250" xfId="1808"/>
    <cellStyle name="Обычный 250 2" xfId="1809"/>
    <cellStyle name="Обычный 250 2 2" xfId="1810"/>
    <cellStyle name="Обычный 250 3" xfId="1811"/>
    <cellStyle name="Обычный 250 4" xfId="1812"/>
    <cellStyle name="Обычный 251" xfId="1813"/>
    <cellStyle name="Обычный 251 2" xfId="1814"/>
    <cellStyle name="Обычный 251 2 2" xfId="1815"/>
    <cellStyle name="Обычный 251 3" xfId="1816"/>
    <cellStyle name="Обычный 251 4" xfId="1817"/>
    <cellStyle name="Обычный 252" xfId="1818"/>
    <cellStyle name="Обычный 252 2" xfId="1819"/>
    <cellStyle name="Обычный 252 2 2" xfId="1820"/>
    <cellStyle name="Обычный 252 3" xfId="1821"/>
    <cellStyle name="Обычный 252 4" xfId="1822"/>
    <cellStyle name="Обычный 253" xfId="1823"/>
    <cellStyle name="Обычный 253 2" xfId="1824"/>
    <cellStyle name="Обычный 253 2 2" xfId="1825"/>
    <cellStyle name="Обычный 253 3" xfId="1826"/>
    <cellStyle name="Обычный 253 4" xfId="1827"/>
    <cellStyle name="Обычный 254" xfId="1828"/>
    <cellStyle name="Обычный 254 2" xfId="1829"/>
    <cellStyle name="Обычный 254 2 2" xfId="1830"/>
    <cellStyle name="Обычный 254 3" xfId="1831"/>
    <cellStyle name="Обычный 254 4" xfId="1832"/>
    <cellStyle name="Обычный 255" xfId="1833"/>
    <cellStyle name="Обычный 255 2" xfId="1834"/>
    <cellStyle name="Обычный 255 2 2" xfId="1835"/>
    <cellStyle name="Обычный 255 3" xfId="1836"/>
    <cellStyle name="Обычный 255 4" xfId="1837"/>
    <cellStyle name="Обычный 256" xfId="1838"/>
    <cellStyle name="Обычный 256 2" xfId="1839"/>
    <cellStyle name="Обычный 256 2 2" xfId="1840"/>
    <cellStyle name="Обычный 256 3" xfId="1841"/>
    <cellStyle name="Обычный 256 4" xfId="1842"/>
    <cellStyle name="Обычный 257" xfId="1843"/>
    <cellStyle name="Обычный 257 2" xfId="1844"/>
    <cellStyle name="Обычный 257 2 2" xfId="1845"/>
    <cellStyle name="Обычный 257 3" xfId="1846"/>
    <cellStyle name="Обычный 257 4" xfId="1847"/>
    <cellStyle name="Обычный 258" xfId="1848"/>
    <cellStyle name="Обычный 258 2" xfId="1849"/>
    <cellStyle name="Обычный 258 2 2" xfId="1850"/>
    <cellStyle name="Обычный 258 3" xfId="1851"/>
    <cellStyle name="Обычный 258 4" xfId="1852"/>
    <cellStyle name="Обычный 259" xfId="1853"/>
    <cellStyle name="Обычный 259 2" xfId="1854"/>
    <cellStyle name="Обычный 259 2 2" xfId="1855"/>
    <cellStyle name="Обычный 259 3" xfId="1856"/>
    <cellStyle name="Обычный 259 4" xfId="1857"/>
    <cellStyle name="Обычный 26" xfId="1858"/>
    <cellStyle name="Обычный 26 2" xfId="1859"/>
    <cellStyle name="Обычный 26 2 2" xfId="1860"/>
    <cellStyle name="Обычный 26 3" xfId="1861"/>
    <cellStyle name="Обычный 26 4" xfId="1862"/>
    <cellStyle name="Обычный 260" xfId="1863"/>
    <cellStyle name="Обычный 260 2" xfId="1864"/>
    <cellStyle name="Обычный 260 2 2" xfId="1865"/>
    <cellStyle name="Обычный 260 3" xfId="1866"/>
    <cellStyle name="Обычный 260 4" xfId="1867"/>
    <cellStyle name="Обычный 261" xfId="1868"/>
    <cellStyle name="Обычный 261 2" xfId="1869"/>
    <cellStyle name="Обычный 261 2 2" xfId="1870"/>
    <cellStyle name="Обычный 261 3" xfId="1871"/>
    <cellStyle name="Обычный 261 4" xfId="1872"/>
    <cellStyle name="Обычный 262" xfId="1873"/>
    <cellStyle name="Обычный 262 2" xfId="1874"/>
    <cellStyle name="Обычный 262 2 2" xfId="1875"/>
    <cellStyle name="Обычный 262 3" xfId="1876"/>
    <cellStyle name="Обычный 262 4" xfId="1877"/>
    <cellStyle name="Обычный 263" xfId="1878"/>
    <cellStyle name="Обычный 263 2" xfId="1879"/>
    <cellStyle name="Обычный 263 2 2" xfId="1880"/>
    <cellStyle name="Обычный 263 3" xfId="1881"/>
    <cellStyle name="Обычный 263 4" xfId="1882"/>
    <cellStyle name="Обычный 264" xfId="1883"/>
    <cellStyle name="Обычный 264 2" xfId="1884"/>
    <cellStyle name="Обычный 264 2 2" xfId="1885"/>
    <cellStyle name="Обычный 264 3" xfId="1886"/>
    <cellStyle name="Обычный 264 4" xfId="1887"/>
    <cellStyle name="Обычный 265" xfId="1888"/>
    <cellStyle name="Обычный 265 2" xfId="1889"/>
    <cellStyle name="Обычный 265 2 2" xfId="1890"/>
    <cellStyle name="Обычный 265 3" xfId="1891"/>
    <cellStyle name="Обычный 265 4" xfId="1892"/>
    <cellStyle name="Обычный 266" xfId="1893"/>
    <cellStyle name="Обычный 266 2" xfId="1894"/>
    <cellStyle name="Обычный 266 2 2" xfId="1895"/>
    <cellStyle name="Обычный 266 3" xfId="1896"/>
    <cellStyle name="Обычный 266 4" xfId="1897"/>
    <cellStyle name="Обычный 267" xfId="1898"/>
    <cellStyle name="Обычный 267 2" xfId="1899"/>
    <cellStyle name="Обычный 267 2 2" xfId="1900"/>
    <cellStyle name="Обычный 267 3" xfId="1901"/>
    <cellStyle name="Обычный 267 4" xfId="1902"/>
    <cellStyle name="Обычный 268" xfId="1903"/>
    <cellStyle name="Обычный 268 2" xfId="1904"/>
    <cellStyle name="Обычный 268 2 2" xfId="1905"/>
    <cellStyle name="Обычный 268 3" xfId="1906"/>
    <cellStyle name="Обычный 268 4" xfId="1907"/>
    <cellStyle name="Обычный 269" xfId="1908"/>
    <cellStyle name="Обычный 269 2" xfId="1909"/>
    <cellStyle name="Обычный 269 2 2" xfId="1910"/>
    <cellStyle name="Обычный 269 3" xfId="1911"/>
    <cellStyle name="Обычный 269 4" xfId="1912"/>
    <cellStyle name="Обычный 27" xfId="1913"/>
    <cellStyle name="Обычный 27 2" xfId="1914"/>
    <cellStyle name="Обычный 27 2 2" xfId="1915"/>
    <cellStyle name="Обычный 27 3" xfId="1916"/>
    <cellStyle name="Обычный 27 4" xfId="1917"/>
    <cellStyle name="Обычный 270" xfId="1918"/>
    <cellStyle name="Обычный 270 2" xfId="1919"/>
    <cellStyle name="Обычный 270 2 2" xfId="1920"/>
    <cellStyle name="Обычный 270 3" xfId="1921"/>
    <cellStyle name="Обычный 270 4" xfId="1922"/>
    <cellStyle name="Обычный 271" xfId="1923"/>
    <cellStyle name="Обычный 271 2" xfId="1924"/>
    <cellStyle name="Обычный 271 2 2" xfId="1925"/>
    <cellStyle name="Обычный 271 3" xfId="1926"/>
    <cellStyle name="Обычный 271 4" xfId="1927"/>
    <cellStyle name="Обычный 272" xfId="1928"/>
    <cellStyle name="Обычный 272 2" xfId="1929"/>
    <cellStyle name="Обычный 272 2 2" xfId="1930"/>
    <cellStyle name="Обычный 272 3" xfId="1931"/>
    <cellStyle name="Обычный 272 4" xfId="1932"/>
    <cellStyle name="Обычный 273" xfId="1933"/>
    <cellStyle name="Обычный 273 2" xfId="1934"/>
    <cellStyle name="Обычный 273 2 2" xfId="1935"/>
    <cellStyle name="Обычный 273 3" xfId="1936"/>
    <cellStyle name="Обычный 273 4" xfId="1937"/>
    <cellStyle name="Обычный 274" xfId="1938"/>
    <cellStyle name="Обычный 274 2" xfId="1939"/>
    <cellStyle name="Обычный 274 2 2" xfId="1940"/>
    <cellStyle name="Обычный 274 3" xfId="1941"/>
    <cellStyle name="Обычный 274 4" xfId="1942"/>
    <cellStyle name="Обычный 275" xfId="1943"/>
    <cellStyle name="Обычный 275 2" xfId="1944"/>
    <cellStyle name="Обычный 275 2 2" xfId="1945"/>
    <cellStyle name="Обычный 275 3" xfId="1946"/>
    <cellStyle name="Обычный 275 4" xfId="1947"/>
    <cellStyle name="Обычный 276" xfId="1948"/>
    <cellStyle name="Обычный 276 2" xfId="1949"/>
    <cellStyle name="Обычный 276 2 2" xfId="1950"/>
    <cellStyle name="Обычный 276 3" xfId="1951"/>
    <cellStyle name="Обычный 276 4" xfId="1952"/>
    <cellStyle name="Обычный 277" xfId="1953"/>
    <cellStyle name="Обычный 277 2" xfId="1954"/>
    <cellStyle name="Обычный 277 2 2" xfId="1955"/>
    <cellStyle name="Обычный 277 3" xfId="1956"/>
    <cellStyle name="Обычный 277 4" xfId="1957"/>
    <cellStyle name="Обычный 278" xfId="1958"/>
    <cellStyle name="Обычный 278 2" xfId="1959"/>
    <cellStyle name="Обычный 278 2 2" xfId="1960"/>
    <cellStyle name="Обычный 278 3" xfId="1961"/>
    <cellStyle name="Обычный 278 4" xfId="1962"/>
    <cellStyle name="Обычный 279" xfId="1963"/>
    <cellStyle name="Обычный 279 2" xfId="1964"/>
    <cellStyle name="Обычный 279 2 2" xfId="1965"/>
    <cellStyle name="Обычный 279 3" xfId="1966"/>
    <cellStyle name="Обычный 279 4" xfId="1967"/>
    <cellStyle name="Обычный 28" xfId="1968"/>
    <cellStyle name="Обычный 28 2" xfId="1969"/>
    <cellStyle name="Обычный 28 2 2" xfId="1970"/>
    <cellStyle name="Обычный 28 3" xfId="1971"/>
    <cellStyle name="Обычный 28 4" xfId="1972"/>
    <cellStyle name="Обычный 280" xfId="1973"/>
    <cellStyle name="Обычный 280 2" xfId="1974"/>
    <cellStyle name="Обычный 280 2 2" xfId="1975"/>
    <cellStyle name="Обычный 280 3" xfId="1976"/>
    <cellStyle name="Обычный 280 4" xfId="1977"/>
    <cellStyle name="Обычный 281" xfId="1978"/>
    <cellStyle name="Обычный 281 2" xfId="1979"/>
    <cellStyle name="Обычный 281 2 2" xfId="1980"/>
    <cellStyle name="Обычный 281 3" xfId="1981"/>
    <cellStyle name="Обычный 281 4" xfId="1982"/>
    <cellStyle name="Обычный 282" xfId="1983"/>
    <cellStyle name="Обычный 282 2" xfId="1984"/>
    <cellStyle name="Обычный 282 2 2" xfId="1985"/>
    <cellStyle name="Обычный 282 3" xfId="1986"/>
    <cellStyle name="Обычный 282 4" xfId="1987"/>
    <cellStyle name="Обычный 283" xfId="1988"/>
    <cellStyle name="Обычный 283 2" xfId="1989"/>
    <cellStyle name="Обычный 283 2 2" xfId="1990"/>
    <cellStyle name="Обычный 283 3" xfId="1991"/>
    <cellStyle name="Обычный 283 4" xfId="1992"/>
    <cellStyle name="Обычный 284" xfId="1993"/>
    <cellStyle name="Обычный 284 2" xfId="1994"/>
    <cellStyle name="Обычный 284 2 2" xfId="1995"/>
    <cellStyle name="Обычный 284 3" xfId="1996"/>
    <cellStyle name="Обычный 284 4" xfId="1997"/>
    <cellStyle name="Обычный 285" xfId="1998"/>
    <cellStyle name="Обычный 285 2" xfId="1999"/>
    <cellStyle name="Обычный 285 2 2" xfId="2000"/>
    <cellStyle name="Обычный 285 3" xfId="2001"/>
    <cellStyle name="Обычный 285 4" xfId="2002"/>
    <cellStyle name="Обычный 286" xfId="2003"/>
    <cellStyle name="Обычный 286 2" xfId="2004"/>
    <cellStyle name="Обычный 286 2 2" xfId="2005"/>
    <cellStyle name="Обычный 286 3" xfId="2006"/>
    <cellStyle name="Обычный 286 4" xfId="2007"/>
    <cellStyle name="Обычный 287" xfId="2008"/>
    <cellStyle name="Обычный 287 2" xfId="2009"/>
    <cellStyle name="Обычный 287 2 2" xfId="2010"/>
    <cellStyle name="Обычный 287 3" xfId="2011"/>
    <cellStyle name="Обычный 287 4" xfId="2012"/>
    <cellStyle name="Обычный 288" xfId="2013"/>
    <cellStyle name="Обычный 288 2" xfId="2014"/>
    <cellStyle name="Обычный 288 2 2" xfId="2015"/>
    <cellStyle name="Обычный 288 3" xfId="2016"/>
    <cellStyle name="Обычный 288 4" xfId="2017"/>
    <cellStyle name="Обычный 289" xfId="2018"/>
    <cellStyle name="Обычный 289 2" xfId="2019"/>
    <cellStyle name="Обычный 289 2 2" xfId="2020"/>
    <cellStyle name="Обычный 289 3" xfId="2021"/>
    <cellStyle name="Обычный 289 4" xfId="2022"/>
    <cellStyle name="Обычный 29" xfId="2023"/>
    <cellStyle name="Обычный 29 2" xfId="2024"/>
    <cellStyle name="Обычный 29 2 2" xfId="2025"/>
    <cellStyle name="Обычный 29 3" xfId="2026"/>
    <cellStyle name="Обычный 29 4" xfId="2027"/>
    <cellStyle name="Обычный 290" xfId="2028"/>
    <cellStyle name="Обычный 290 2" xfId="2029"/>
    <cellStyle name="Обычный 290 2 2" xfId="2030"/>
    <cellStyle name="Обычный 290 3" xfId="2031"/>
    <cellStyle name="Обычный 290 4" xfId="2032"/>
    <cellStyle name="Обычный 291" xfId="2033"/>
    <cellStyle name="Обычный 291 2" xfId="2034"/>
    <cellStyle name="Обычный 291 2 2" xfId="2035"/>
    <cellStyle name="Обычный 291 3" xfId="2036"/>
    <cellStyle name="Обычный 291 4" xfId="2037"/>
    <cellStyle name="Обычный 292" xfId="2038"/>
    <cellStyle name="Обычный 292 2" xfId="2039"/>
    <cellStyle name="Обычный 292 2 2" xfId="2040"/>
    <cellStyle name="Обычный 292 3" xfId="2041"/>
    <cellStyle name="Обычный 292 4" xfId="2042"/>
    <cellStyle name="Обычный 293" xfId="2043"/>
    <cellStyle name="Обычный 293 2" xfId="2044"/>
    <cellStyle name="Обычный 293 2 2" xfId="2045"/>
    <cellStyle name="Обычный 293 3" xfId="2046"/>
    <cellStyle name="Обычный 293 4" xfId="2047"/>
    <cellStyle name="Обычный 294" xfId="2048"/>
    <cellStyle name="Обычный 294 2" xfId="2049"/>
    <cellStyle name="Обычный 294 2 2" xfId="2050"/>
    <cellStyle name="Обычный 294 3" xfId="2051"/>
    <cellStyle name="Обычный 294 4" xfId="2052"/>
    <cellStyle name="Обычный 295" xfId="2053"/>
    <cellStyle name="Обычный 295 2" xfId="2054"/>
    <cellStyle name="Обычный 295 2 2" xfId="2055"/>
    <cellStyle name="Обычный 295 3" xfId="2056"/>
    <cellStyle name="Обычный 295 4" xfId="2057"/>
    <cellStyle name="Обычный 296" xfId="2058"/>
    <cellStyle name="Обычный 296 2" xfId="2059"/>
    <cellStyle name="Обычный 296 2 2" xfId="2060"/>
    <cellStyle name="Обычный 296 3" xfId="2061"/>
    <cellStyle name="Обычный 296 4" xfId="2062"/>
    <cellStyle name="Обычный 297" xfId="2063"/>
    <cellStyle name="Обычный 297 2" xfId="2064"/>
    <cellStyle name="Обычный 297 2 2" xfId="2065"/>
    <cellStyle name="Обычный 297 3" xfId="2066"/>
    <cellStyle name="Обычный 297 4" xfId="2067"/>
    <cellStyle name="Обычный 298" xfId="2068"/>
    <cellStyle name="Обычный 298 2" xfId="2069"/>
    <cellStyle name="Обычный 298 2 2" xfId="2070"/>
    <cellStyle name="Обычный 298 3" xfId="2071"/>
    <cellStyle name="Обычный 298 4" xfId="2072"/>
    <cellStyle name="Обычный 299" xfId="2073"/>
    <cellStyle name="Обычный 299 2" xfId="2074"/>
    <cellStyle name="Обычный 299 2 2" xfId="2075"/>
    <cellStyle name="Обычный 299 3" xfId="2076"/>
    <cellStyle name="Обычный 299 4" xfId="2077"/>
    <cellStyle name="Обычный 3" xfId="2078"/>
    <cellStyle name="Обычный 3 2" xfId="2079"/>
    <cellStyle name="Обычный 3 2 2" xfId="2080"/>
    <cellStyle name="Обычный 3 2 3" xfId="2081"/>
    <cellStyle name="Обычный 3 2 4" xfId="2082"/>
    <cellStyle name="Обычный 3 2 5" xfId="2083"/>
    <cellStyle name="Обычный 3 2 6" xfId="2084"/>
    <cellStyle name="Обычный 3 3" xfId="2085"/>
    <cellStyle name="Обычный 3 3 2" xfId="2086"/>
    <cellStyle name="Обычный 3 3 3" xfId="2087"/>
    <cellStyle name="Обычный 3 3 4" xfId="2088"/>
    <cellStyle name="Обычный 3 3 5" xfId="2089"/>
    <cellStyle name="Обычный 3 4" xfId="2090"/>
    <cellStyle name="Обычный 3 4 2" xfId="2091"/>
    <cellStyle name="Обычный 3 4 3" xfId="2092"/>
    <cellStyle name="Обычный 3 4 4" xfId="2093"/>
    <cellStyle name="Обычный 3 4 5" xfId="2094"/>
    <cellStyle name="Обычный 3 5" xfId="2095"/>
    <cellStyle name="Обычный 3 6" xfId="2096"/>
    <cellStyle name="Обычный 30" xfId="2097"/>
    <cellStyle name="Обычный 30 2" xfId="2098"/>
    <cellStyle name="Обычный 30 2 2" xfId="2099"/>
    <cellStyle name="Обычный 30 3" xfId="2100"/>
    <cellStyle name="Обычный 30 4" xfId="2101"/>
    <cellStyle name="Обычный 300" xfId="2102"/>
    <cellStyle name="Обычный 300 2" xfId="2103"/>
    <cellStyle name="Обычный 300 2 2" xfId="2104"/>
    <cellStyle name="Обычный 300 3" xfId="2105"/>
    <cellStyle name="Обычный 300 4" xfId="2106"/>
    <cellStyle name="Обычный 301" xfId="2107"/>
    <cellStyle name="Обычный 301 2" xfId="2108"/>
    <cellStyle name="Обычный 301 2 2" xfId="2109"/>
    <cellStyle name="Обычный 301 3" xfId="2110"/>
    <cellStyle name="Обычный 301 4" xfId="2111"/>
    <cellStyle name="Обычный 302" xfId="2112"/>
    <cellStyle name="Обычный 302 2" xfId="2113"/>
    <cellStyle name="Обычный 302 2 2" xfId="2114"/>
    <cellStyle name="Обычный 302 3" xfId="2115"/>
    <cellStyle name="Обычный 302 4" xfId="2116"/>
    <cellStyle name="Обычный 303" xfId="2117"/>
    <cellStyle name="Обычный 303 2" xfId="2118"/>
    <cellStyle name="Обычный 303 2 2" xfId="2119"/>
    <cellStyle name="Обычный 303 3" xfId="2120"/>
    <cellStyle name="Обычный 303 4" xfId="2121"/>
    <cellStyle name="Обычный 304" xfId="2122"/>
    <cellStyle name="Обычный 304 2" xfId="2123"/>
    <cellStyle name="Обычный 304 2 2" xfId="2124"/>
    <cellStyle name="Обычный 304 3" xfId="2125"/>
    <cellStyle name="Обычный 304 4" xfId="2126"/>
    <cellStyle name="Обычный 305" xfId="2127"/>
    <cellStyle name="Обычный 305 2" xfId="2128"/>
    <cellStyle name="Обычный 305 2 2" xfId="2129"/>
    <cellStyle name="Обычный 305 3" xfId="2130"/>
    <cellStyle name="Обычный 305 4" xfId="2131"/>
    <cellStyle name="Обычный 306" xfId="2132"/>
    <cellStyle name="Обычный 306 2" xfId="2133"/>
    <cellStyle name="Обычный 306 2 2" xfId="2134"/>
    <cellStyle name="Обычный 306 3" xfId="2135"/>
    <cellStyle name="Обычный 306 4" xfId="2136"/>
    <cellStyle name="Обычный 307" xfId="2137"/>
    <cellStyle name="Обычный 307 2" xfId="2138"/>
    <cellStyle name="Обычный 307 2 2" xfId="2139"/>
    <cellStyle name="Обычный 307 3" xfId="2140"/>
    <cellStyle name="Обычный 307 4" xfId="2141"/>
    <cellStyle name="Обычный 308" xfId="2142"/>
    <cellStyle name="Обычный 308 2" xfId="2143"/>
    <cellStyle name="Обычный 308 2 2" xfId="2144"/>
    <cellStyle name="Обычный 308 3" xfId="2145"/>
    <cellStyle name="Обычный 308 4" xfId="2146"/>
    <cellStyle name="Обычный 309" xfId="2147"/>
    <cellStyle name="Обычный 309 2" xfId="2148"/>
    <cellStyle name="Обычный 309 2 2" xfId="2149"/>
    <cellStyle name="Обычный 309 3" xfId="2150"/>
    <cellStyle name="Обычный 309 4" xfId="2151"/>
    <cellStyle name="Обычный 31" xfId="2152"/>
    <cellStyle name="Обычный 31 2" xfId="2153"/>
    <cellStyle name="Обычный 31 2 2" xfId="2154"/>
    <cellStyle name="Обычный 31 3" xfId="2155"/>
    <cellStyle name="Обычный 31 4" xfId="2156"/>
    <cellStyle name="Обычный 310" xfId="2157"/>
    <cellStyle name="Обычный 311" xfId="2158"/>
    <cellStyle name="Обычный 311 2" xfId="2159"/>
    <cellStyle name="Обычный 311 2 2" xfId="2160"/>
    <cellStyle name="Обычный 311 3" xfId="2161"/>
    <cellStyle name="Обычный 311 4" xfId="2162"/>
    <cellStyle name="Обычный 312" xfId="2163"/>
    <cellStyle name="Обычный 312 2" xfId="2164"/>
    <cellStyle name="Обычный 312 2 2" xfId="2165"/>
    <cellStyle name="Обычный 312 3" xfId="2166"/>
    <cellStyle name="Обычный 312 4" xfId="2167"/>
    <cellStyle name="Обычный 313" xfId="2168"/>
    <cellStyle name="Обычный 313 2" xfId="2169"/>
    <cellStyle name="Обычный 313 2 2" xfId="2170"/>
    <cellStyle name="Обычный 313 3" xfId="2171"/>
    <cellStyle name="Обычный 313 4" xfId="2172"/>
    <cellStyle name="Обычный 314" xfId="2173"/>
    <cellStyle name="Обычный 314 2" xfId="2174"/>
    <cellStyle name="Обычный 314 2 2" xfId="2175"/>
    <cellStyle name="Обычный 314 3" xfId="2176"/>
    <cellStyle name="Обычный 314 4" xfId="2177"/>
    <cellStyle name="Обычный 315" xfId="2178"/>
    <cellStyle name="Обычный 315 2" xfId="2179"/>
    <cellStyle name="Обычный 315 2 2" xfId="2180"/>
    <cellStyle name="Обычный 315 3" xfId="2181"/>
    <cellStyle name="Обычный 315 4" xfId="2182"/>
    <cellStyle name="Обычный 316" xfId="2183"/>
    <cellStyle name="Обычный 316 2" xfId="2184"/>
    <cellStyle name="Обычный 316 2 2" xfId="2185"/>
    <cellStyle name="Обычный 316 3" xfId="2186"/>
    <cellStyle name="Обычный 316 4" xfId="2187"/>
    <cellStyle name="Обычный 317" xfId="2188"/>
    <cellStyle name="Обычный 317 2" xfId="2189"/>
    <cellStyle name="Обычный 317 2 2" xfId="2190"/>
    <cellStyle name="Обычный 317 3" xfId="2191"/>
    <cellStyle name="Обычный 317 4" xfId="2192"/>
    <cellStyle name="Обычный 318" xfId="2193"/>
    <cellStyle name="Обычный 318 2" xfId="2194"/>
    <cellStyle name="Обычный 318 2 2" xfId="2195"/>
    <cellStyle name="Обычный 318 3" xfId="2196"/>
    <cellStyle name="Обычный 318 4" xfId="2197"/>
    <cellStyle name="Обычный 319" xfId="2198"/>
    <cellStyle name="Обычный 319 2" xfId="2199"/>
    <cellStyle name="Обычный 319 2 2" xfId="2200"/>
    <cellStyle name="Обычный 319 3" xfId="2201"/>
    <cellStyle name="Обычный 319 4" xfId="2202"/>
    <cellStyle name="Обычный 32" xfId="2203"/>
    <cellStyle name="Обычный 32 2" xfId="2204"/>
    <cellStyle name="Обычный 32 2 2" xfId="2205"/>
    <cellStyle name="Обычный 32 3" xfId="2206"/>
    <cellStyle name="Обычный 32 4" xfId="2207"/>
    <cellStyle name="Обычный 320" xfId="2208"/>
    <cellStyle name="Обычный 320 2" xfId="2209"/>
    <cellStyle name="Обычный 320 2 2" xfId="2210"/>
    <cellStyle name="Обычный 320 3" xfId="2211"/>
    <cellStyle name="Обычный 320 4" xfId="2212"/>
    <cellStyle name="Обычный 321" xfId="2213"/>
    <cellStyle name="Обычный 321 2" xfId="2214"/>
    <cellStyle name="Обычный 321 2 2" xfId="2215"/>
    <cellStyle name="Обычный 321 3" xfId="2216"/>
    <cellStyle name="Обычный 321 4" xfId="2217"/>
    <cellStyle name="Обычный 322" xfId="2218"/>
    <cellStyle name="Обычный 322 2" xfId="2219"/>
    <cellStyle name="Обычный 322 2 2" xfId="2220"/>
    <cellStyle name="Обычный 322 3" xfId="2221"/>
    <cellStyle name="Обычный 322 4" xfId="2222"/>
    <cellStyle name="Обычный 323" xfId="2223"/>
    <cellStyle name="Обычный 323 2" xfId="2224"/>
    <cellStyle name="Обычный 323 2 2" xfId="2225"/>
    <cellStyle name="Обычный 323 3" xfId="2226"/>
    <cellStyle name="Обычный 323 4" xfId="2227"/>
    <cellStyle name="Обычный 324" xfId="2228"/>
    <cellStyle name="Обычный 324 2" xfId="2229"/>
    <cellStyle name="Обычный 324 2 2" xfId="2230"/>
    <cellStyle name="Обычный 324 3" xfId="2231"/>
    <cellStyle name="Обычный 324 4" xfId="2232"/>
    <cellStyle name="Обычный 325" xfId="2233"/>
    <cellStyle name="Обычный 325 2" xfId="2234"/>
    <cellStyle name="Обычный 325 2 2" xfId="2235"/>
    <cellStyle name="Обычный 325 3" xfId="2236"/>
    <cellStyle name="Обычный 325 4" xfId="2237"/>
    <cellStyle name="Обычный 326" xfId="2238"/>
    <cellStyle name="Обычный 326 2" xfId="2239"/>
    <cellStyle name="Обычный 326 2 2" xfId="2240"/>
    <cellStyle name="Обычный 326 3" xfId="2241"/>
    <cellStyle name="Обычный 326 4" xfId="2242"/>
    <cellStyle name="Обычный 327" xfId="2243"/>
    <cellStyle name="Обычный 327 2" xfId="2244"/>
    <cellStyle name="Обычный 327 2 2" xfId="2245"/>
    <cellStyle name="Обычный 327 3" xfId="2246"/>
    <cellStyle name="Обычный 327 4" xfId="2247"/>
    <cellStyle name="Обычный 328" xfId="2248"/>
    <cellStyle name="Обычный 328 2" xfId="2249"/>
    <cellStyle name="Обычный 328 2 2" xfId="2250"/>
    <cellStyle name="Обычный 328 3" xfId="2251"/>
    <cellStyle name="Обычный 328 4" xfId="2252"/>
    <cellStyle name="Обычный 329" xfId="2253"/>
    <cellStyle name="Обычный 329 2" xfId="2254"/>
    <cellStyle name="Обычный 329 2 2" xfId="2255"/>
    <cellStyle name="Обычный 329 3" xfId="2256"/>
    <cellStyle name="Обычный 329 4" xfId="2257"/>
    <cellStyle name="Обычный 33" xfId="2258"/>
    <cellStyle name="Обычный 33 2" xfId="2259"/>
    <cellStyle name="Обычный 33 2 2" xfId="2260"/>
    <cellStyle name="Обычный 33 3" xfId="2261"/>
    <cellStyle name="Обычный 33 4" xfId="2262"/>
    <cellStyle name="Обычный 330" xfId="2263"/>
    <cellStyle name="Обычный 330 2" xfId="2264"/>
    <cellStyle name="Обычный 330 2 2" xfId="2265"/>
    <cellStyle name="Обычный 330 3" xfId="2266"/>
    <cellStyle name="Обычный 330 4" xfId="2267"/>
    <cellStyle name="Обычный 331" xfId="2268"/>
    <cellStyle name="Обычный 331 2" xfId="2269"/>
    <cellStyle name="Обычный 331 2 2" xfId="2270"/>
    <cellStyle name="Обычный 331 3" xfId="2271"/>
    <cellStyle name="Обычный 331 4" xfId="2272"/>
    <cellStyle name="Обычный 332" xfId="2273"/>
    <cellStyle name="Обычный 332 2" xfId="2274"/>
    <cellStyle name="Обычный 332 2 2" xfId="2275"/>
    <cellStyle name="Обычный 332 3" xfId="2276"/>
    <cellStyle name="Обычный 332 4" xfId="2277"/>
    <cellStyle name="Обычный 333" xfId="2278"/>
    <cellStyle name="Обычный 333 2" xfId="2279"/>
    <cellStyle name="Обычный 333 2 2" xfId="2280"/>
    <cellStyle name="Обычный 333 3" xfId="2281"/>
    <cellStyle name="Обычный 333 4" xfId="2282"/>
    <cellStyle name="Обычный 334" xfId="2283"/>
    <cellStyle name="Обычный 334 2" xfId="2284"/>
    <cellStyle name="Обычный 334 2 2" xfId="2285"/>
    <cellStyle name="Обычный 334 3" xfId="2286"/>
    <cellStyle name="Обычный 334 4" xfId="2287"/>
    <cellStyle name="Обычный 335" xfId="2288"/>
    <cellStyle name="Обычный 335 2" xfId="2289"/>
    <cellStyle name="Обычный 335 2 2" xfId="2290"/>
    <cellStyle name="Обычный 335 3" xfId="2291"/>
    <cellStyle name="Обычный 335 4" xfId="2292"/>
    <cellStyle name="Обычный 336" xfId="2293"/>
    <cellStyle name="Обычный 336 2" xfId="2294"/>
    <cellStyle name="Обычный 336 2 2" xfId="2295"/>
    <cellStyle name="Обычный 336 3" xfId="2296"/>
    <cellStyle name="Обычный 336 4" xfId="2297"/>
    <cellStyle name="Обычный 337" xfId="2298"/>
    <cellStyle name="Обычный 337 2" xfId="2299"/>
    <cellStyle name="Обычный 337 2 2" xfId="2300"/>
    <cellStyle name="Обычный 337 3" xfId="2301"/>
    <cellStyle name="Обычный 337 4" xfId="2302"/>
    <cellStyle name="Обычный 338" xfId="2303"/>
    <cellStyle name="Обычный 338 2" xfId="2304"/>
    <cellStyle name="Обычный 338 2 2" xfId="2305"/>
    <cellStyle name="Обычный 338 3" xfId="2306"/>
    <cellStyle name="Обычный 338 4" xfId="2307"/>
    <cellStyle name="Обычный 339" xfId="2308"/>
    <cellStyle name="Обычный 339 2" xfId="2309"/>
    <cellStyle name="Обычный 339 2 2" xfId="2310"/>
    <cellStyle name="Обычный 339 3" xfId="2311"/>
    <cellStyle name="Обычный 339 4" xfId="2312"/>
    <cellStyle name="Обычный 34" xfId="2313"/>
    <cellStyle name="Обычный 34 2" xfId="2314"/>
    <cellStyle name="Обычный 34 2 2" xfId="2315"/>
    <cellStyle name="Обычный 34 3" xfId="2316"/>
    <cellStyle name="Обычный 34 4" xfId="2317"/>
    <cellStyle name="Обычный 340" xfId="2318"/>
    <cellStyle name="Обычный 340 2" xfId="2319"/>
    <cellStyle name="Обычный 340 2 2" xfId="2320"/>
    <cellStyle name="Обычный 340 3" xfId="2321"/>
    <cellStyle name="Обычный 340 4" xfId="2322"/>
    <cellStyle name="Обычный 341" xfId="2323"/>
    <cellStyle name="Обычный 341 2" xfId="2324"/>
    <cellStyle name="Обычный 341 2 2" xfId="2325"/>
    <cellStyle name="Обычный 341 3" xfId="2326"/>
    <cellStyle name="Обычный 341 4" xfId="2327"/>
    <cellStyle name="Обычный 342" xfId="2328"/>
    <cellStyle name="Обычный 342 2" xfId="2329"/>
    <cellStyle name="Обычный 342 2 2" xfId="2330"/>
    <cellStyle name="Обычный 342 3" xfId="2331"/>
    <cellStyle name="Обычный 342 4" xfId="2332"/>
    <cellStyle name="Обычный 343" xfId="2333"/>
    <cellStyle name="Обычный 343 2" xfId="2334"/>
    <cellStyle name="Обычный 343 2 2" xfId="2335"/>
    <cellStyle name="Обычный 343 3" xfId="2336"/>
    <cellStyle name="Обычный 343 4" xfId="2337"/>
    <cellStyle name="Обычный 344" xfId="2338"/>
    <cellStyle name="Обычный 344 2" xfId="2339"/>
    <cellStyle name="Обычный 344 2 2" xfId="2340"/>
    <cellStyle name="Обычный 344 3" xfId="2341"/>
    <cellStyle name="Обычный 344 4" xfId="2342"/>
    <cellStyle name="Обычный 345" xfId="2343"/>
    <cellStyle name="Обычный 345 2" xfId="2344"/>
    <cellStyle name="Обычный 345 2 2" xfId="2345"/>
    <cellStyle name="Обычный 345 3" xfId="2346"/>
    <cellStyle name="Обычный 345 4" xfId="2347"/>
    <cellStyle name="Обычный 346" xfId="2348"/>
    <cellStyle name="Обычный 346 2" xfId="2349"/>
    <cellStyle name="Обычный 346 2 2" xfId="2350"/>
    <cellStyle name="Обычный 346 3" xfId="2351"/>
    <cellStyle name="Обычный 346 4" xfId="2352"/>
    <cellStyle name="Обычный 347" xfId="2353"/>
    <cellStyle name="Обычный 347 2" xfId="2354"/>
    <cellStyle name="Обычный 347 2 2" xfId="2355"/>
    <cellStyle name="Обычный 347 3" xfId="2356"/>
    <cellStyle name="Обычный 347 4" xfId="2357"/>
    <cellStyle name="Обычный 348" xfId="2358"/>
    <cellStyle name="Обычный 348 2" xfId="2359"/>
    <cellStyle name="Обычный 348 2 2" xfId="2360"/>
    <cellStyle name="Обычный 348 3" xfId="2361"/>
    <cellStyle name="Обычный 348 4" xfId="2362"/>
    <cellStyle name="Обычный 349" xfId="2363"/>
    <cellStyle name="Обычный 349 2" xfId="2364"/>
    <cellStyle name="Обычный 349 2 2" xfId="2365"/>
    <cellStyle name="Обычный 349 3" xfId="2366"/>
    <cellStyle name="Обычный 349 4" xfId="2367"/>
    <cellStyle name="Обычный 35" xfId="2368"/>
    <cellStyle name="Обычный 35 2" xfId="2369"/>
    <cellStyle name="Обычный 35 2 2" xfId="2370"/>
    <cellStyle name="Обычный 35 2 3" xfId="2371"/>
    <cellStyle name="Обычный 35 3" xfId="2372"/>
    <cellStyle name="Обычный 35 3 2" xfId="2373"/>
    <cellStyle name="Обычный 35 4" xfId="2374"/>
    <cellStyle name="Обычный 35 5" xfId="2375"/>
    <cellStyle name="Обычный 35 6" xfId="2376"/>
    <cellStyle name="Обычный 35 7" xfId="2377"/>
    <cellStyle name="Обычный 35 8" xfId="2378"/>
    <cellStyle name="Обычный 350" xfId="2379"/>
    <cellStyle name="Обычный 350 2" xfId="2380"/>
    <cellStyle name="Обычный 350 2 2" xfId="2381"/>
    <cellStyle name="Обычный 350 3" xfId="2382"/>
    <cellStyle name="Обычный 350 4" xfId="2383"/>
    <cellStyle name="Обычный 351" xfId="2384"/>
    <cellStyle name="Обычный 351 2" xfId="2385"/>
    <cellStyle name="Обычный 351 2 2" xfId="2386"/>
    <cellStyle name="Обычный 351 3" xfId="2387"/>
    <cellStyle name="Обычный 351 4" xfId="2388"/>
    <cellStyle name="Обычный 352" xfId="2389"/>
    <cellStyle name="Обычный 352 2" xfId="2390"/>
    <cellStyle name="Обычный 352 2 2" xfId="2391"/>
    <cellStyle name="Обычный 352 3" xfId="2392"/>
    <cellStyle name="Обычный 352 4" xfId="2393"/>
    <cellStyle name="Обычный 353" xfId="2394"/>
    <cellStyle name="Обычный 353 2" xfId="2395"/>
    <cellStyle name="Обычный 353 2 2" xfId="2396"/>
    <cellStyle name="Обычный 353 3" xfId="2397"/>
    <cellStyle name="Обычный 353 4" xfId="2398"/>
    <cellStyle name="Обычный 354" xfId="2399"/>
    <cellStyle name="Обычный 354 2" xfId="2400"/>
    <cellStyle name="Обычный 354 2 2" xfId="2401"/>
    <cellStyle name="Обычный 354 3" xfId="2402"/>
    <cellStyle name="Обычный 354 4" xfId="2403"/>
    <cellStyle name="Обычный 355" xfId="2404"/>
    <cellStyle name="Обычный 356" xfId="2405"/>
    <cellStyle name="Обычный 356 2" xfId="2406"/>
    <cellStyle name="Обычный 357" xfId="2407"/>
    <cellStyle name="Обычный 357 2" xfId="2408"/>
    <cellStyle name="Обычный 358" xfId="2409"/>
    <cellStyle name="Обычный 358 2" xfId="2410"/>
    <cellStyle name="Обычный 359" xfId="2411"/>
    <cellStyle name="Обычный 359 3" xfId="2412"/>
    <cellStyle name="Обычный 36" xfId="2413"/>
    <cellStyle name="Обычный 36 2" xfId="2414"/>
    <cellStyle name="Обычный 36 2 2" xfId="2415"/>
    <cellStyle name="Обычный 36 3" xfId="2416"/>
    <cellStyle name="Обычный 36 4" xfId="2417"/>
    <cellStyle name="Обычный 360" xfId="2418"/>
    <cellStyle name="Обычный 361" xfId="2419"/>
    <cellStyle name="Обычный 361 2" xfId="2420"/>
    <cellStyle name="Обычный 362" xfId="2421"/>
    <cellStyle name="Обычный 363" xfId="2422"/>
    <cellStyle name="Обычный 364" xfId="2423"/>
    <cellStyle name="Обычный 37" xfId="2424"/>
    <cellStyle name="Обычный 37 2" xfId="2425"/>
    <cellStyle name="Обычный 37 2 2" xfId="2426"/>
    <cellStyle name="Обычный 37 3" xfId="2427"/>
    <cellStyle name="Обычный 37 4" xfId="2428"/>
    <cellStyle name="Обычный 38" xfId="2429"/>
    <cellStyle name="Обычный 38 2" xfId="2430"/>
    <cellStyle name="Обычный 38 2 2" xfId="2431"/>
    <cellStyle name="Обычный 38 3" xfId="2432"/>
    <cellStyle name="Обычный 38 4" xfId="2433"/>
    <cellStyle name="Обычный 39" xfId="2434"/>
    <cellStyle name="Обычный 39 2" xfId="2435"/>
    <cellStyle name="Обычный 39 2 2" xfId="2436"/>
    <cellStyle name="Обычный 39 3" xfId="2437"/>
    <cellStyle name="Обычный 39 4" xfId="2438"/>
    <cellStyle name="Обычный 4" xfId="2439"/>
    <cellStyle name="Обычный 4 2" xfId="2440"/>
    <cellStyle name="Обычный 4 2 2" xfId="2441"/>
    <cellStyle name="Обычный 4 2 3" xfId="2442"/>
    <cellStyle name="Обычный 4 2 4" xfId="2443"/>
    <cellStyle name="Обычный 4 3" xfId="2444"/>
    <cellStyle name="Обычный 4 3 2" xfId="2445"/>
    <cellStyle name="Обычный 4 3 3" xfId="2446"/>
    <cellStyle name="Обычный 4 3 4" xfId="2447"/>
    <cellStyle name="Обычный 4 3 5" xfId="2448"/>
    <cellStyle name="Обычный 4 4" xfId="2449"/>
    <cellStyle name="Обычный 4 5" xfId="2450"/>
    <cellStyle name="Обычный 4 6" xfId="2451"/>
    <cellStyle name="Обычный 4 7" xfId="2452"/>
    <cellStyle name="Обычный 40" xfId="2453"/>
    <cellStyle name="Обычный 40 2" xfId="2454"/>
    <cellStyle name="Обычный 40 2 2" xfId="2455"/>
    <cellStyle name="Обычный 40 3" xfId="2456"/>
    <cellStyle name="Обычный 40 4" xfId="2457"/>
    <cellStyle name="Обычный 41" xfId="2458"/>
    <cellStyle name="Обычный 41 2" xfId="2459"/>
    <cellStyle name="Обычный 41 2 2" xfId="2460"/>
    <cellStyle name="Обычный 41 3" xfId="2461"/>
    <cellStyle name="Обычный 41 4" xfId="2462"/>
    <cellStyle name="Обычный 42" xfId="2463"/>
    <cellStyle name="Обычный 42 2" xfId="2464"/>
    <cellStyle name="Обычный 42 2 2" xfId="2465"/>
    <cellStyle name="Обычный 42 3" xfId="2466"/>
    <cellStyle name="Обычный 42 4" xfId="2467"/>
    <cellStyle name="Обычный 43" xfId="2468"/>
    <cellStyle name="Обычный 43 2" xfId="2469"/>
    <cellStyle name="Обычный 43 2 2" xfId="2470"/>
    <cellStyle name="Обычный 43 3" xfId="2471"/>
    <cellStyle name="Обычный 43 4" xfId="2472"/>
    <cellStyle name="Обычный 44" xfId="2473"/>
    <cellStyle name="Обычный 44 2" xfId="2474"/>
    <cellStyle name="Обычный 44 2 2" xfId="2475"/>
    <cellStyle name="Обычный 44 3" xfId="2476"/>
    <cellStyle name="Обычный 44 4" xfId="2477"/>
    <cellStyle name="Обычный 45" xfId="2478"/>
    <cellStyle name="Обычный 45 2" xfId="2479"/>
    <cellStyle name="Обычный 45 2 2" xfId="2480"/>
    <cellStyle name="Обычный 45 3" xfId="2481"/>
    <cellStyle name="Обычный 45 4" xfId="2482"/>
    <cellStyle name="Обычный 46" xfId="2483"/>
    <cellStyle name="Обычный 46 2" xfId="2484"/>
    <cellStyle name="Обычный 46 2 2" xfId="2485"/>
    <cellStyle name="Обычный 46 3" xfId="2486"/>
    <cellStyle name="Обычный 46 4" xfId="2487"/>
    <cellStyle name="Обычный 47" xfId="2488"/>
    <cellStyle name="Обычный 47 2" xfId="2489"/>
    <cellStyle name="Обычный 47 2 2" xfId="2490"/>
    <cellStyle name="Обычный 47 3" xfId="2491"/>
    <cellStyle name="Обычный 47 4" xfId="2492"/>
    <cellStyle name="Обычный 48" xfId="2493"/>
    <cellStyle name="Обычный 48 2" xfId="2494"/>
    <cellStyle name="Обычный 48 2 2" xfId="2495"/>
    <cellStyle name="Обычный 48 3" xfId="2496"/>
    <cellStyle name="Обычный 48 4" xfId="2497"/>
    <cellStyle name="Обычный 49" xfId="2498"/>
    <cellStyle name="Обычный 49 2" xfId="2499"/>
    <cellStyle name="Обычный 49 2 2" xfId="2500"/>
    <cellStyle name="Обычный 49 3" xfId="2501"/>
    <cellStyle name="Обычный 49 4" xfId="2502"/>
    <cellStyle name="Обычный 5" xfId="2503"/>
    <cellStyle name="Обычный 5 2" xfId="2504"/>
    <cellStyle name="Обычный 5 2 2" xfId="2505"/>
    <cellStyle name="Обычный 5 3" xfId="2506"/>
    <cellStyle name="Обычный 5 3 2" xfId="2507"/>
    <cellStyle name="Обычный 5 4" xfId="2508"/>
    <cellStyle name="Обычный 5 5" xfId="2509"/>
    <cellStyle name="Обычный 5 6" xfId="2510"/>
    <cellStyle name="Обычный 5 7" xfId="2511"/>
    <cellStyle name="Обычный 5 8" xfId="2512"/>
    <cellStyle name="Обычный 50" xfId="2513"/>
    <cellStyle name="Обычный 50 2" xfId="2514"/>
    <cellStyle name="Обычный 50 2 2" xfId="2515"/>
    <cellStyle name="Обычный 50 3" xfId="2516"/>
    <cellStyle name="Обычный 50 4" xfId="2517"/>
    <cellStyle name="Обычный 51" xfId="2518"/>
    <cellStyle name="Обычный 51 2" xfId="2519"/>
    <cellStyle name="Обычный 51 2 2" xfId="2520"/>
    <cellStyle name="Обычный 51 3" xfId="2521"/>
    <cellStyle name="Обычный 51 4" xfId="2522"/>
    <cellStyle name="Обычный 52" xfId="2523"/>
    <cellStyle name="Обычный 52 2" xfId="2524"/>
    <cellStyle name="Обычный 52 2 2" xfId="2525"/>
    <cellStyle name="Обычный 52 3" xfId="2526"/>
    <cellStyle name="Обычный 52 4" xfId="2527"/>
    <cellStyle name="Обычный 53" xfId="2528"/>
    <cellStyle name="Обычный 53 2" xfId="2529"/>
    <cellStyle name="Обычный 53 2 2" xfId="2530"/>
    <cellStyle name="Обычный 53 3" xfId="2531"/>
    <cellStyle name="Обычный 53 4" xfId="2532"/>
    <cellStyle name="Обычный 54" xfId="2533"/>
    <cellStyle name="Обычный 54 2" xfId="2534"/>
    <cellStyle name="Обычный 54 2 2" xfId="2535"/>
    <cellStyle name="Обычный 54 3" xfId="2536"/>
    <cellStyle name="Обычный 54 4" xfId="2537"/>
    <cellStyle name="Обычный 55" xfId="2538"/>
    <cellStyle name="Обычный 55 2" xfId="2539"/>
    <cellStyle name="Обычный 55 2 2" xfId="2540"/>
    <cellStyle name="Обычный 55 3" xfId="2541"/>
    <cellStyle name="Обычный 55 4" xfId="2542"/>
    <cellStyle name="Обычный 56" xfId="2543"/>
    <cellStyle name="Обычный 56 2" xfId="2544"/>
    <cellStyle name="Обычный 56 2 2" xfId="2545"/>
    <cellStyle name="Обычный 56 3" xfId="2546"/>
    <cellStyle name="Обычный 56 4" xfId="2547"/>
    <cellStyle name="Обычный 57" xfId="2548"/>
    <cellStyle name="Обычный 57 2" xfId="2549"/>
    <cellStyle name="Обычный 57 2 2" xfId="2550"/>
    <cellStyle name="Обычный 57 3" xfId="2551"/>
    <cellStyle name="Обычный 57 4" xfId="2552"/>
    <cellStyle name="Обычный 58" xfId="2553"/>
    <cellStyle name="Обычный 58 2" xfId="2554"/>
    <cellStyle name="Обычный 58 2 2" xfId="2555"/>
    <cellStyle name="Обычный 58 3" xfId="2556"/>
    <cellStyle name="Обычный 58 4" xfId="2557"/>
    <cellStyle name="Обычный 59" xfId="2558"/>
    <cellStyle name="Обычный 59 2" xfId="2559"/>
    <cellStyle name="Обычный 59 2 2" xfId="2560"/>
    <cellStyle name="Обычный 59 3" xfId="2561"/>
    <cellStyle name="Обычный 59 4" xfId="2562"/>
    <cellStyle name="Обычный 6" xfId="2563"/>
    <cellStyle name="Обычный 6 2" xfId="2564"/>
    <cellStyle name="Обычный 6 2 2" xfId="2565"/>
    <cellStyle name="Обычный 6 2 3" xfId="2566"/>
    <cellStyle name="Обычный 6 3" xfId="2567"/>
    <cellStyle name="Обычный 6 3 2" xfId="2568"/>
    <cellStyle name="Обычный 6 3 3" xfId="2569"/>
    <cellStyle name="Обычный 6 4" xfId="2570"/>
    <cellStyle name="Обычный 6 4 2" xfId="2571"/>
    <cellStyle name="Обычный 6 5" xfId="2572"/>
    <cellStyle name="Обычный 6 6" xfId="2573"/>
    <cellStyle name="Обычный 6 7" xfId="2574"/>
    <cellStyle name="Обычный 6 8" xfId="2575"/>
    <cellStyle name="Обычный 60" xfId="2576"/>
    <cellStyle name="Обычный 60 2" xfId="2577"/>
    <cellStyle name="Обычный 60 2 2" xfId="2578"/>
    <cellStyle name="Обычный 60 3" xfId="2579"/>
    <cellStyle name="Обычный 60 4" xfId="2580"/>
    <cellStyle name="Обычный 61" xfId="2581"/>
    <cellStyle name="Обычный 61 2" xfId="2582"/>
    <cellStyle name="Обычный 61 2 2" xfId="2583"/>
    <cellStyle name="Обычный 61 3" xfId="2584"/>
    <cellStyle name="Обычный 61 4" xfId="2585"/>
    <cellStyle name="Обычный 62" xfId="2586"/>
    <cellStyle name="Обычный 62 2" xfId="2587"/>
    <cellStyle name="Обычный 62 2 2" xfId="2588"/>
    <cellStyle name="Обычный 62 3" xfId="2589"/>
    <cellStyle name="Обычный 62 4" xfId="2590"/>
    <cellStyle name="Обычный 63" xfId="2591"/>
    <cellStyle name="Обычный 63 2" xfId="2592"/>
    <cellStyle name="Обычный 63 2 2" xfId="2593"/>
    <cellStyle name="Обычный 63 3" xfId="2594"/>
    <cellStyle name="Обычный 63 4" xfId="2595"/>
    <cellStyle name="Обычный 64" xfId="2596"/>
    <cellStyle name="Обычный 64 2" xfId="2597"/>
    <cellStyle name="Обычный 64 2 2" xfId="2598"/>
    <cellStyle name="Обычный 64 3" xfId="2599"/>
    <cellStyle name="Обычный 64 4" xfId="2600"/>
    <cellStyle name="Обычный 65" xfId="2601"/>
    <cellStyle name="Обычный 65 2" xfId="2602"/>
    <cellStyle name="Обычный 65 2 2" xfId="2603"/>
    <cellStyle name="Обычный 65 3" xfId="2604"/>
    <cellStyle name="Обычный 65 4" xfId="2605"/>
    <cellStyle name="Обычный 66" xfId="2606"/>
    <cellStyle name="Обычный 66 2" xfId="2607"/>
    <cellStyle name="Обычный 66 2 2" xfId="2608"/>
    <cellStyle name="Обычный 66 3" xfId="2609"/>
    <cellStyle name="Обычный 66 4" xfId="2610"/>
    <cellStyle name="Обычный 67" xfId="2611"/>
    <cellStyle name="Обычный 67 2" xfId="2612"/>
    <cellStyle name="Обычный 67 2 2" xfId="2613"/>
    <cellStyle name="Обычный 67 3" xfId="2614"/>
    <cellStyle name="Обычный 67 4" xfId="2615"/>
    <cellStyle name="Обычный 68" xfId="2616"/>
    <cellStyle name="Обычный 68 2" xfId="2617"/>
    <cellStyle name="Обычный 68 2 2" xfId="2618"/>
    <cellStyle name="Обычный 68 3" xfId="2619"/>
    <cellStyle name="Обычный 68 4" xfId="2620"/>
    <cellStyle name="Обычный 69" xfId="2621"/>
    <cellStyle name="Обычный 69 2" xfId="2622"/>
    <cellStyle name="Обычный 69 2 2" xfId="2623"/>
    <cellStyle name="Обычный 69 3" xfId="2624"/>
    <cellStyle name="Обычный 69 4" xfId="2625"/>
    <cellStyle name="Обычный 7" xfId="2626"/>
    <cellStyle name="Обычный 7 2" xfId="2627"/>
    <cellStyle name="Обычный 7 2 2" xfId="2628"/>
    <cellStyle name="Обычный 7 3" xfId="2629"/>
    <cellStyle name="Обычный 7 3 2" xfId="2630"/>
    <cellStyle name="Обычный 7 3 3" xfId="2631"/>
    <cellStyle name="Обычный 7 4" xfId="2632"/>
    <cellStyle name="Обычный 7 5" xfId="2633"/>
    <cellStyle name="Обычный 7 6" xfId="2634"/>
    <cellStyle name="Обычный 70" xfId="2635"/>
    <cellStyle name="Обычный 70 2" xfId="2636"/>
    <cellStyle name="Обычный 70 2 2" xfId="2637"/>
    <cellStyle name="Обычный 70 3" xfId="2638"/>
    <cellStyle name="Обычный 70 4" xfId="2639"/>
    <cellStyle name="Обычный 71" xfId="2640"/>
    <cellStyle name="Обычный 71 2" xfId="2641"/>
    <cellStyle name="Обычный 71 2 2" xfId="2642"/>
    <cellStyle name="Обычный 71 3" xfId="2643"/>
    <cellStyle name="Обычный 71 4" xfId="2644"/>
    <cellStyle name="Обычный 72" xfId="2645"/>
    <cellStyle name="Обычный 72 2" xfId="2646"/>
    <cellStyle name="Обычный 72 2 2" xfId="2647"/>
    <cellStyle name="Обычный 72 3" xfId="2648"/>
    <cellStyle name="Обычный 72 4" xfId="2649"/>
    <cellStyle name="Обычный 73" xfId="2650"/>
    <cellStyle name="Обычный 73 2" xfId="2651"/>
    <cellStyle name="Обычный 73 2 2" xfId="2652"/>
    <cellStyle name="Обычный 73 3" xfId="2653"/>
    <cellStyle name="Обычный 73 4" xfId="2654"/>
    <cellStyle name="Обычный 74" xfId="2655"/>
    <cellStyle name="Обычный 74 2" xfId="2656"/>
    <cellStyle name="Обычный 74 2 2" xfId="2657"/>
    <cellStyle name="Обычный 74 3" xfId="2658"/>
    <cellStyle name="Обычный 74 4" xfId="2659"/>
    <cellStyle name="Обычный 75" xfId="2660"/>
    <cellStyle name="Обычный 75 2" xfId="2661"/>
    <cellStyle name="Обычный 75 2 2" xfId="2662"/>
    <cellStyle name="Обычный 75 3" xfId="2663"/>
    <cellStyle name="Обычный 75 4" xfId="2664"/>
    <cellStyle name="Обычный 76" xfId="2665"/>
    <cellStyle name="Обычный 76 2" xfId="2666"/>
    <cellStyle name="Обычный 76 2 2" xfId="2667"/>
    <cellStyle name="Обычный 76 3" xfId="2668"/>
    <cellStyle name="Обычный 76 4" xfId="2669"/>
    <cellStyle name="Обычный 77" xfId="2670"/>
    <cellStyle name="Обычный 77 2" xfId="2671"/>
    <cellStyle name="Обычный 77 2 2" xfId="2672"/>
    <cellStyle name="Обычный 77 3" xfId="2673"/>
    <cellStyle name="Обычный 77 4" xfId="2674"/>
    <cellStyle name="Обычный 78" xfId="2675"/>
    <cellStyle name="Обычный 78 2" xfId="2676"/>
    <cellStyle name="Обычный 78 2 2" xfId="2677"/>
    <cellStyle name="Обычный 78 3" xfId="2678"/>
    <cellStyle name="Обычный 78 4" xfId="2679"/>
    <cellStyle name="Обычный 79" xfId="2680"/>
    <cellStyle name="Обычный 79 2" xfId="2681"/>
    <cellStyle name="Обычный 79 2 2" xfId="2682"/>
    <cellStyle name="Обычный 79 3" xfId="2683"/>
    <cellStyle name="Обычный 79 4" xfId="2684"/>
    <cellStyle name="Обычный 8" xfId="2685"/>
    <cellStyle name="Обычный 8 2" xfId="2686"/>
    <cellStyle name="Обычный 8 2 2" xfId="2687"/>
    <cellStyle name="Обычный 8 2 3" xfId="2688"/>
    <cellStyle name="Обычный 8 3" xfId="2689"/>
    <cellStyle name="Обычный 8 3 2" xfId="2690"/>
    <cellStyle name="Обычный 8 3 3" xfId="2691"/>
    <cellStyle name="Обычный 8 3 4" xfId="2692"/>
    <cellStyle name="Обычный 8 4" xfId="2693"/>
    <cellStyle name="Обычный 8 5" xfId="2694"/>
    <cellStyle name="Обычный 8 6" xfId="2695"/>
    <cellStyle name="Обычный 8 7" xfId="2696"/>
    <cellStyle name="Обычный 80" xfId="2697"/>
    <cellStyle name="Обычный 80 2" xfId="2698"/>
    <cellStyle name="Обычный 80 2 2" xfId="2699"/>
    <cellStyle name="Обычный 80 3" xfId="2700"/>
    <cellStyle name="Обычный 80 4" xfId="2701"/>
    <cellStyle name="Обычный 81" xfId="2702"/>
    <cellStyle name="Обычный 81 2" xfId="2703"/>
    <cellStyle name="Обычный 81 2 2" xfId="2704"/>
    <cellStyle name="Обычный 81 3" xfId="2705"/>
    <cellStyle name="Обычный 81 4" xfId="2706"/>
    <cellStyle name="Обычный 82" xfId="2707"/>
    <cellStyle name="Обычный 82 2" xfId="2708"/>
    <cellStyle name="Обычный 82 2 2" xfId="2709"/>
    <cellStyle name="Обычный 82 3" xfId="2710"/>
    <cellStyle name="Обычный 82 4" xfId="2711"/>
    <cellStyle name="Обычный 83" xfId="2712"/>
    <cellStyle name="Обычный 83 2" xfId="2713"/>
    <cellStyle name="Обычный 83 2 2" xfId="2714"/>
    <cellStyle name="Обычный 83 3" xfId="2715"/>
    <cellStyle name="Обычный 83 4" xfId="2716"/>
    <cellStyle name="Обычный 84" xfId="2717"/>
    <cellStyle name="Обычный 84 2" xfId="2718"/>
    <cellStyle name="Обычный 84 2 2" xfId="2719"/>
    <cellStyle name="Обычный 84 3" xfId="2720"/>
    <cellStyle name="Обычный 84 4" xfId="2721"/>
    <cellStyle name="Обычный 85" xfId="2722"/>
    <cellStyle name="Обычный 85 2" xfId="2723"/>
    <cellStyle name="Обычный 85 2 2" xfId="2724"/>
    <cellStyle name="Обычный 85 3" xfId="2725"/>
    <cellStyle name="Обычный 85 4" xfId="2726"/>
    <cellStyle name="Обычный 86" xfId="2727"/>
    <cellStyle name="Обычный 86 2" xfId="2728"/>
    <cellStyle name="Обычный 86 2 2" xfId="2729"/>
    <cellStyle name="Обычный 86 3" xfId="2730"/>
    <cellStyle name="Обычный 86 4" xfId="2731"/>
    <cellStyle name="Обычный 87" xfId="2732"/>
    <cellStyle name="Обычный 87 2" xfId="2733"/>
    <cellStyle name="Обычный 87 2 2" xfId="2734"/>
    <cellStyle name="Обычный 87 3" xfId="2735"/>
    <cellStyle name="Обычный 87 4" xfId="2736"/>
    <cellStyle name="Обычный 88" xfId="2737"/>
    <cellStyle name="Обычный 88 2" xfId="2738"/>
    <cellStyle name="Обычный 88 2 2" xfId="2739"/>
    <cellStyle name="Обычный 88 3" xfId="2740"/>
    <cellStyle name="Обычный 88 4" xfId="2741"/>
    <cellStyle name="Обычный 89" xfId="2742"/>
    <cellStyle name="Обычный 89 2" xfId="2743"/>
    <cellStyle name="Обычный 89 2 2" xfId="2744"/>
    <cellStyle name="Обычный 89 3" xfId="2745"/>
    <cellStyle name="Обычный 89 4" xfId="2746"/>
    <cellStyle name="Обычный 9" xfId="2747"/>
    <cellStyle name="Обычный 9 2" xfId="2748"/>
    <cellStyle name="Обычный 9 2 2" xfId="2749"/>
    <cellStyle name="Обычный 9 3" xfId="2750"/>
    <cellStyle name="Обычный 9 3 2" xfId="2751"/>
    <cellStyle name="Обычный 9 4" xfId="2752"/>
    <cellStyle name="Обычный 9 5" xfId="2753"/>
    <cellStyle name="Обычный 9 6" xfId="2754"/>
    <cellStyle name="Обычный 90" xfId="2755"/>
    <cellStyle name="Обычный 90 2" xfId="2756"/>
    <cellStyle name="Обычный 90 2 2" xfId="2757"/>
    <cellStyle name="Обычный 90 3" xfId="2758"/>
    <cellStyle name="Обычный 90 4" xfId="2759"/>
    <cellStyle name="Обычный 91" xfId="2760"/>
    <cellStyle name="Обычный 91 2" xfId="2761"/>
    <cellStyle name="Обычный 91 2 2" xfId="2762"/>
    <cellStyle name="Обычный 91 3" xfId="2763"/>
    <cellStyle name="Обычный 91 4" xfId="2764"/>
    <cellStyle name="Обычный 92" xfId="2765"/>
    <cellStyle name="Обычный 92 2" xfId="2766"/>
    <cellStyle name="Обычный 92 2 2" xfId="2767"/>
    <cellStyle name="Обычный 92 3" xfId="2768"/>
    <cellStyle name="Обычный 92 4" xfId="2769"/>
    <cellStyle name="Обычный 93" xfId="2770"/>
    <cellStyle name="Обычный 93 2" xfId="2771"/>
    <cellStyle name="Обычный 93 2 2" xfId="2772"/>
    <cellStyle name="Обычный 93 3" xfId="2773"/>
    <cellStyle name="Обычный 93 4" xfId="2774"/>
    <cellStyle name="Обычный 94" xfId="2775"/>
    <cellStyle name="Обычный 94 2" xfId="2776"/>
    <cellStyle name="Обычный 94 2 2" xfId="2777"/>
    <cellStyle name="Обычный 94 3" xfId="2778"/>
    <cellStyle name="Обычный 94 4" xfId="2779"/>
    <cellStyle name="Обычный 95" xfId="2780"/>
    <cellStyle name="Обычный 95 2" xfId="2781"/>
    <cellStyle name="Обычный 95 2 2" xfId="2782"/>
    <cellStyle name="Обычный 95 3" xfId="2783"/>
    <cellStyle name="Обычный 95 4" xfId="2784"/>
    <cellStyle name="Обычный 96" xfId="2785"/>
    <cellStyle name="Обычный 96 2" xfId="2786"/>
    <cellStyle name="Обычный 96 2 2" xfId="2787"/>
    <cellStyle name="Обычный 96 3" xfId="2788"/>
    <cellStyle name="Обычный 96 4" xfId="2789"/>
    <cellStyle name="Обычный 97" xfId="2790"/>
    <cellStyle name="Обычный 97 2" xfId="2791"/>
    <cellStyle name="Обычный 97 2 2" xfId="2792"/>
    <cellStyle name="Обычный 97 3" xfId="2793"/>
    <cellStyle name="Обычный 97 4" xfId="2794"/>
    <cellStyle name="Обычный 98" xfId="2795"/>
    <cellStyle name="Обычный 98 2" xfId="2796"/>
    <cellStyle name="Обычный 98 2 2" xfId="2797"/>
    <cellStyle name="Обычный 98 3" xfId="2798"/>
    <cellStyle name="Обычный 98 4" xfId="2799"/>
    <cellStyle name="Обычный 99" xfId="2800"/>
    <cellStyle name="Обычный 99 2" xfId="2801"/>
    <cellStyle name="Обычный 99 2 2" xfId="2802"/>
    <cellStyle name="Обычный 99 3" xfId="2803"/>
    <cellStyle name="Обычный 99 4" xfId="2804"/>
    <cellStyle name="Followed Hyperlink" xfId="2805"/>
    <cellStyle name="Плохой" xfId="2806"/>
    <cellStyle name="Плохой 2" xfId="2807"/>
    <cellStyle name="Плохой 3" xfId="2808"/>
    <cellStyle name="Плохой 4" xfId="2809"/>
    <cellStyle name="Пояснение" xfId="2810"/>
    <cellStyle name="Пояснение 2" xfId="2811"/>
    <cellStyle name="Пояснение 3" xfId="2812"/>
    <cellStyle name="Пояснение 4" xfId="2813"/>
    <cellStyle name="Примечание" xfId="2814"/>
    <cellStyle name="Примечание 10" xfId="2815"/>
    <cellStyle name="Примечание 11" xfId="2816"/>
    <cellStyle name="Примечание 12" xfId="2817"/>
    <cellStyle name="Примечание 13" xfId="2818"/>
    <cellStyle name="Примечание 14" xfId="2819"/>
    <cellStyle name="Примечание 15" xfId="2820"/>
    <cellStyle name="Примечание 16" xfId="2821"/>
    <cellStyle name="Примечание 17" xfId="2822"/>
    <cellStyle name="Примечание 18" xfId="2823"/>
    <cellStyle name="Примечание 19" xfId="2824"/>
    <cellStyle name="Примечание 2" xfId="2825"/>
    <cellStyle name="Примечание 2 2" xfId="2826"/>
    <cellStyle name="Примечание 2 2 2" xfId="2827"/>
    <cellStyle name="Примечание 2 3" xfId="2828"/>
    <cellStyle name="Примечание 2 3 2" xfId="2829"/>
    <cellStyle name="Примечание 2 3 3" xfId="2830"/>
    <cellStyle name="Примечание 2 4" xfId="2831"/>
    <cellStyle name="Примечание 2 4 2" xfId="2832"/>
    <cellStyle name="Примечание 2 5" xfId="2833"/>
    <cellStyle name="Примечание 2 6" xfId="2834"/>
    <cellStyle name="Примечание 2_Справочный реестр" xfId="2835"/>
    <cellStyle name="Примечание 20" xfId="2836"/>
    <cellStyle name="Примечание 21" xfId="2837"/>
    <cellStyle name="Примечание 22" xfId="2838"/>
    <cellStyle name="Примечание 3" xfId="2839"/>
    <cellStyle name="Примечание 3 2" xfId="2840"/>
    <cellStyle name="Примечание 3 3" xfId="2841"/>
    <cellStyle name="Примечание 3 4" xfId="2842"/>
    <cellStyle name="Примечание 3 5" xfId="2843"/>
    <cellStyle name="Примечание 3_Справочный реестр" xfId="2844"/>
    <cellStyle name="Примечание 4" xfId="2845"/>
    <cellStyle name="Примечание 4 2" xfId="2846"/>
    <cellStyle name="Примечание 4 2 2" xfId="2847"/>
    <cellStyle name="Примечание 4 3" xfId="2848"/>
    <cellStyle name="Примечание 4 3 2" xfId="2849"/>
    <cellStyle name="Примечание 4 4" xfId="2850"/>
    <cellStyle name="Примечание 4_Справочный реестр" xfId="2851"/>
    <cellStyle name="Примечание 5" xfId="2852"/>
    <cellStyle name="Примечание 5 2" xfId="2853"/>
    <cellStyle name="Примечание 5 2 2" xfId="2854"/>
    <cellStyle name="Примечание 5 3" xfId="2855"/>
    <cellStyle name="Примечание 5 4" xfId="2856"/>
    <cellStyle name="Примечание 5_Справочный реестр" xfId="2857"/>
    <cellStyle name="Примечание 6" xfId="2858"/>
    <cellStyle name="Примечание 6 2" xfId="2859"/>
    <cellStyle name="Примечание 6 3" xfId="2860"/>
    <cellStyle name="Примечание 6 4" xfId="2861"/>
    <cellStyle name="Примечание 7" xfId="2862"/>
    <cellStyle name="Примечание 7 2" xfId="2863"/>
    <cellStyle name="Примечание 7 3" xfId="2864"/>
    <cellStyle name="Примечание 8" xfId="2865"/>
    <cellStyle name="Примечание 8 2" xfId="2866"/>
    <cellStyle name="Примечание 8 3" xfId="2867"/>
    <cellStyle name="Примечание 9" xfId="2868"/>
    <cellStyle name="Примечание 9 2" xfId="2869"/>
    <cellStyle name="Percent" xfId="2870"/>
    <cellStyle name="Процентный 2" xfId="2871"/>
    <cellStyle name="Процентный 2 2" xfId="2872"/>
    <cellStyle name="Процентный 2 2 2" xfId="2873"/>
    <cellStyle name="Процентный 2 3" xfId="2874"/>
    <cellStyle name="Процентный 2 3 2" xfId="2875"/>
    <cellStyle name="Процентный 2 4" xfId="2876"/>
    <cellStyle name="Процентный 2 4 2" xfId="2877"/>
    <cellStyle name="Процентный 2 5" xfId="2878"/>
    <cellStyle name="Процентный 2 6" xfId="2879"/>
    <cellStyle name="Процентный 3" xfId="2880"/>
    <cellStyle name="Процентный 3 2" xfId="2881"/>
    <cellStyle name="Процентный 3 3" xfId="2882"/>
    <cellStyle name="Процентный 3 6" xfId="2883"/>
    <cellStyle name="Процентный 4" xfId="2884"/>
    <cellStyle name="Процентный 4 2" xfId="2885"/>
    <cellStyle name="Процентный 4 3" xfId="2886"/>
    <cellStyle name="Процентный 4 4" xfId="2887"/>
    <cellStyle name="Процентный 5" xfId="2888"/>
    <cellStyle name="Процентный 6" xfId="2889"/>
    <cellStyle name="Проценты" xfId="2890"/>
    <cellStyle name="Связанная ячейка" xfId="2891"/>
    <cellStyle name="Связанная ячейка 2" xfId="2892"/>
    <cellStyle name="Связанная ячейка 3" xfId="2893"/>
    <cellStyle name="Связанная ячейка 4" xfId="2894"/>
    <cellStyle name="Текст предупреждения" xfId="2895"/>
    <cellStyle name="Текст предупреждения 2" xfId="2896"/>
    <cellStyle name="Текст предупреждения 3" xfId="2897"/>
    <cellStyle name="Текст предупреждения 4" xfId="2898"/>
    <cellStyle name="Тысяч человек" xfId="2899"/>
    <cellStyle name="Тысячи [0]_перечис.11" xfId="2900"/>
    <cellStyle name="Тысячи_перечис.11" xfId="2901"/>
    <cellStyle name="Comma" xfId="2902"/>
    <cellStyle name="Comma [0]" xfId="2903"/>
    <cellStyle name="Финансовый 10" xfId="2904"/>
    <cellStyle name="Финансовый 11" xfId="2905"/>
    <cellStyle name="Финансовый 12" xfId="2906"/>
    <cellStyle name="Финансовый 13" xfId="2907"/>
    <cellStyle name="Финансовый 14" xfId="2908"/>
    <cellStyle name="Финансовый 15" xfId="2909"/>
    <cellStyle name="Финансовый 16" xfId="2910"/>
    <cellStyle name="Финансовый 17" xfId="2911"/>
    <cellStyle name="Финансовый 18" xfId="2912"/>
    <cellStyle name="Финансовый 19" xfId="2913"/>
    <cellStyle name="Финансовый 2" xfId="2914"/>
    <cellStyle name="Финансовый 2 10" xfId="2915"/>
    <cellStyle name="Финансовый 2 11" xfId="2916"/>
    <cellStyle name="Финансовый 2 2" xfId="2917"/>
    <cellStyle name="Финансовый 2 2 2" xfId="2918"/>
    <cellStyle name="Финансовый 2 2 2 2" xfId="2919"/>
    <cellStyle name="Финансовый 2 2 2 2 2" xfId="2920"/>
    <cellStyle name="Финансовый 2 2 2 2 2 2" xfId="2921"/>
    <cellStyle name="Финансовый 2 2 2 2 2 2 2" xfId="2922"/>
    <cellStyle name="Финансовый 2 2 2 2 2 3" xfId="2923"/>
    <cellStyle name="Финансовый 2 2 2 2 3" xfId="2924"/>
    <cellStyle name="Финансовый 2 2 2 2 3 2" xfId="2925"/>
    <cellStyle name="Финансовый 2 2 2 2 4" xfId="2926"/>
    <cellStyle name="Финансовый 2 2 2 3" xfId="2927"/>
    <cellStyle name="Финансовый 2 2 2 3 2" xfId="2928"/>
    <cellStyle name="Финансовый 2 2 2 3 2 2" xfId="2929"/>
    <cellStyle name="Финансовый 2 2 2 3 2 2 2" xfId="2930"/>
    <cellStyle name="Финансовый 2 2 2 3 2 3" xfId="2931"/>
    <cellStyle name="Финансовый 2 2 2 3 3" xfId="2932"/>
    <cellStyle name="Финансовый 2 2 2 3 3 2" xfId="2933"/>
    <cellStyle name="Финансовый 2 2 2 3 4" xfId="2934"/>
    <cellStyle name="Финансовый 2 2 2 4" xfId="2935"/>
    <cellStyle name="Финансовый 2 2 2 4 2" xfId="2936"/>
    <cellStyle name="Финансовый 2 2 2 4 2 2" xfId="2937"/>
    <cellStyle name="Финансовый 2 2 2 4 2 2 2" xfId="2938"/>
    <cellStyle name="Финансовый 2 2 2 4 2 3" xfId="2939"/>
    <cellStyle name="Финансовый 2 2 2 4 3" xfId="2940"/>
    <cellStyle name="Финансовый 2 2 2 4 3 2" xfId="2941"/>
    <cellStyle name="Финансовый 2 2 2 4 4" xfId="2942"/>
    <cellStyle name="Финансовый 2 2 2 5" xfId="2943"/>
    <cellStyle name="Финансовый 2 2 2 5 2" xfId="2944"/>
    <cellStyle name="Финансовый 2 2 2 5 2 2" xfId="2945"/>
    <cellStyle name="Финансовый 2 2 2 5 3" xfId="2946"/>
    <cellStyle name="Финансовый 2 2 2 6" xfId="2947"/>
    <cellStyle name="Финансовый 2 2 2 6 2" xfId="2948"/>
    <cellStyle name="Финансовый 2 2 2 6 2 2" xfId="2949"/>
    <cellStyle name="Финансовый 2 2 2 6 3" xfId="2950"/>
    <cellStyle name="Финансовый 2 2 2 7" xfId="2951"/>
    <cellStyle name="Финансовый 2 2 2 7 2" xfId="2952"/>
    <cellStyle name="Финансовый 2 2 2 8" xfId="2953"/>
    <cellStyle name="Финансовый 2 2 2 9" xfId="2954"/>
    <cellStyle name="Финансовый 2 2 3" xfId="2955"/>
    <cellStyle name="Финансовый 2 2 3 2" xfId="2956"/>
    <cellStyle name="Финансовый 2 2 3 2 2" xfId="2957"/>
    <cellStyle name="Финансовый 2 2 3 2 2 2" xfId="2958"/>
    <cellStyle name="Финансовый 2 2 3 2 3" xfId="2959"/>
    <cellStyle name="Финансовый 2 2 3 3" xfId="2960"/>
    <cellStyle name="Финансовый 2 2 3 3 2" xfId="2961"/>
    <cellStyle name="Финансовый 2 2 3 4" xfId="2962"/>
    <cellStyle name="Финансовый 2 2 4" xfId="2963"/>
    <cellStyle name="Финансовый 2 2 4 2" xfId="2964"/>
    <cellStyle name="Финансовый 2 2 4 2 2" xfId="2965"/>
    <cellStyle name="Финансовый 2 2 4 3" xfId="2966"/>
    <cellStyle name="Финансовый 2 2 5" xfId="2967"/>
    <cellStyle name="Финансовый 2 2 5 2" xfId="2968"/>
    <cellStyle name="Финансовый 2 2 6" xfId="2969"/>
    <cellStyle name="Финансовый 2 3" xfId="2970"/>
    <cellStyle name="Финансовый 2 3 2" xfId="2971"/>
    <cellStyle name="Финансовый 2 3 2 2" xfId="2972"/>
    <cellStyle name="Финансовый 2 3 2 2 2" xfId="2973"/>
    <cellStyle name="Финансовый 2 3 2 2 2 2" xfId="2974"/>
    <cellStyle name="Финансовый 2 3 2 2 3" xfId="2975"/>
    <cellStyle name="Финансовый 2 3 2 3" xfId="2976"/>
    <cellStyle name="Финансовый 2 3 2 3 2" xfId="2977"/>
    <cellStyle name="Финансовый 2 3 2 4" xfId="2978"/>
    <cellStyle name="Финансовый 2 3 3" xfId="2979"/>
    <cellStyle name="Финансовый 2 3 3 2" xfId="2980"/>
    <cellStyle name="Финансовый 2 3 3 2 2" xfId="2981"/>
    <cellStyle name="Финансовый 2 3 3 3" xfId="2982"/>
    <cellStyle name="Финансовый 2 3 4" xfId="2983"/>
    <cellStyle name="Финансовый 2 3 4 2" xfId="2984"/>
    <cellStyle name="Финансовый 2 3 5" xfId="2985"/>
    <cellStyle name="Финансовый 2 3 6" xfId="2986"/>
    <cellStyle name="Финансовый 2 4" xfId="2987"/>
    <cellStyle name="Финансовый 2 4 2" xfId="2988"/>
    <cellStyle name="Финансовый 2 4 2 2" xfId="2989"/>
    <cellStyle name="Финансовый 2 4 2 2 2" xfId="2990"/>
    <cellStyle name="Финансовый 2 4 2 3" xfId="2991"/>
    <cellStyle name="Финансовый 2 4 3" xfId="2992"/>
    <cellStyle name="Финансовый 2 4 3 2" xfId="2993"/>
    <cellStyle name="Финансовый 2 4 4" xfId="2994"/>
    <cellStyle name="Финансовый 2 4 5" xfId="2995"/>
    <cellStyle name="Финансовый 2 5" xfId="2996"/>
    <cellStyle name="Финансовый 2 5 2" xfId="2997"/>
    <cellStyle name="Финансовый 2 5 2 2" xfId="2998"/>
    <cellStyle name="Финансовый 2 5 2 2 2" xfId="2999"/>
    <cellStyle name="Финансовый 2 5 2 3" xfId="3000"/>
    <cellStyle name="Финансовый 2 5 3" xfId="3001"/>
    <cellStyle name="Финансовый 2 5 3 2" xfId="3002"/>
    <cellStyle name="Финансовый 2 5 4" xfId="3003"/>
    <cellStyle name="Финансовый 2 5 5" xfId="3004"/>
    <cellStyle name="Финансовый 2 6" xfId="3005"/>
    <cellStyle name="Финансовый 2 6 2" xfId="3006"/>
    <cellStyle name="Финансовый 2 6 2 2" xfId="3007"/>
    <cellStyle name="Финансовый 2 6 2 2 2" xfId="3008"/>
    <cellStyle name="Финансовый 2 6 2 3" xfId="3009"/>
    <cellStyle name="Финансовый 2 6 3" xfId="3010"/>
    <cellStyle name="Финансовый 2 6 3 2" xfId="3011"/>
    <cellStyle name="Финансовый 2 6 4" xfId="3012"/>
    <cellStyle name="Финансовый 2 7" xfId="3013"/>
    <cellStyle name="Финансовый 2 7 2" xfId="3014"/>
    <cellStyle name="Финансовый 2 7 2 2" xfId="3015"/>
    <cellStyle name="Финансовый 2 7 3" xfId="3016"/>
    <cellStyle name="Финансовый 2 8" xfId="3017"/>
    <cellStyle name="Финансовый 2 8 2" xfId="3018"/>
    <cellStyle name="Финансовый 2 8 2 2" xfId="3019"/>
    <cellStyle name="Финансовый 2 8 3" xfId="3020"/>
    <cellStyle name="Финансовый 2 9" xfId="3021"/>
    <cellStyle name="Финансовый 2 9 2" xfId="3022"/>
    <cellStyle name="Финансовый 20" xfId="3023"/>
    <cellStyle name="Финансовый 21" xfId="3024"/>
    <cellStyle name="Финансовый 22" xfId="3025"/>
    <cellStyle name="Финансовый 23" xfId="3026"/>
    <cellStyle name="Финансовый 24" xfId="3027"/>
    <cellStyle name="Финансовый 25" xfId="3028"/>
    <cellStyle name="Финансовый 26" xfId="3029"/>
    <cellStyle name="Финансовый 27" xfId="3030"/>
    <cellStyle name="Финансовый 28" xfId="3031"/>
    <cellStyle name="Финансовый 29" xfId="3032"/>
    <cellStyle name="Финансовый 3" xfId="3033"/>
    <cellStyle name="Финансовый 3 2" xfId="3034"/>
    <cellStyle name="Финансовый 30" xfId="3035"/>
    <cellStyle name="Финансовый 31" xfId="3036"/>
    <cellStyle name="Финансовый 32" xfId="3037"/>
    <cellStyle name="Финансовый 33" xfId="3038"/>
    <cellStyle name="Финансовый 4" xfId="3039"/>
    <cellStyle name="Финансовый 4 2" xfId="3040"/>
    <cellStyle name="Финансовый 4 3" xfId="3041"/>
    <cellStyle name="Финансовый 4 4" xfId="3042"/>
    <cellStyle name="Финансовый 4 5" xfId="3043"/>
    <cellStyle name="Финансовый 5" xfId="3044"/>
    <cellStyle name="Финансовый 5 2" xfId="3045"/>
    <cellStyle name="Финансовый 5 3" xfId="3046"/>
    <cellStyle name="Финансовый 5 4" xfId="3047"/>
    <cellStyle name="Финансовый 5 5" xfId="3048"/>
    <cellStyle name="Финансовый 6" xfId="3049"/>
    <cellStyle name="Финансовый 7" xfId="3050"/>
    <cellStyle name="Финансовый 8" xfId="3051"/>
    <cellStyle name="Финансовый 9" xfId="3052"/>
    <cellStyle name="Хороший" xfId="3053"/>
    <cellStyle name="Хороший 2" xfId="3054"/>
    <cellStyle name="Хороший 3" xfId="3055"/>
    <cellStyle name="Хороший 4" xfId="30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\Share$\&#1086;&#1090;&#1076;&#1077;&#1083;%20&#1058;&#1055;&#1054;&#1052;&#1057;\!!!&#1054;&#1058;&#1063;&#1045;&#1058;&#1067;!!!\&#1040;&#1053;&#1040;&#1051;&#1048;&#1047;%20&#1042;&#1067;&#1055;&#1054;&#1051;&#1053;&#1045;&#1053;&#1048;&#1071;%20&#1054;&#1041;&#1066;&#1045;&#1052;&#1054;&#1042;\&#1040;&#1053;&#1040;&#1051;&#1048;&#1047;%202023\6.%20&#1057;&#1042;&#1045;&#1056;&#1050;&#1040;%20&#1055;&#1051;&#1040;&#1053;&#1054;&#1042;&#1067;&#1061;%20&#1048;%20&#1060;&#1040;&#1050;&#1058;&#1048;&#1063;&#1045;&#1057;&#1050;&#1048;&#1061;%20&#1055;&#1054;&#1050;&#1040;&#1047;&#1040;&#1058;&#1045;&#1051;&#1045;&#1049;\&#1057;&#1052;&#1054;\10.%20&#1054;&#1050;&#1058;&#1071;&#1041;&#1056;&#1068;\3.2%20&#1048;&#1057;&#1051;%20-%200123-12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\Share$\&#1086;&#1090;&#1076;&#1077;&#1083;%20&#1058;&#1055;&#1054;&#1052;&#1057;\!!!&#1054;&#1058;&#1063;&#1045;&#1058;&#1067;!!!\&#1040;&#1053;&#1040;&#1051;&#1048;&#1047;%20&#1042;&#1067;&#1055;&#1054;&#1051;&#1053;&#1045;&#1053;&#1048;&#1071;%20&#1054;&#1041;&#1066;&#1045;&#1052;&#1054;&#1042;\&#1040;&#1053;&#1040;&#1051;&#1048;&#1047;%202023\6.%20&#1057;&#1042;&#1045;&#1056;&#1050;&#1040;%20&#1055;&#1051;&#1040;&#1053;&#1054;&#1042;&#1067;&#1061;%20&#1048;%20&#1060;&#1040;&#1050;&#1058;&#1048;&#1063;&#1045;&#1057;&#1050;&#1048;&#1061;%20&#1055;&#1054;&#1050;&#1040;&#1047;&#1040;&#1058;&#1045;&#1051;&#1045;&#1049;\&#1057;&#1052;&#1054;\10.%20&#1054;&#1050;&#1058;&#1071;&#1041;&#1056;&#1068;\3.%20&#1040;&#1052;&#1055;%20&#1057;&#1052;&#1054;%200123-12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МОБ"/>
      <sheetName val="ДБ"/>
      <sheetName val="ЦОМИД"/>
      <sheetName val="ГОР ПОЛ"/>
      <sheetName val="КРИСТАЛЛ"/>
      <sheetName val="ЮНИЛАБ"/>
      <sheetName val="МОДФ И ИЗ"/>
      <sheetName val="ДАНТИСТ 21 ВЕК"/>
      <sheetName val="ВИТАЛАБ"/>
    </sheetNames>
    <sheetDataSet>
      <sheetData sheetId="0">
        <row r="8">
          <cell r="C8">
            <v>10306</v>
          </cell>
        </row>
        <row r="9">
          <cell r="C9">
            <v>6925</v>
          </cell>
        </row>
        <row r="10">
          <cell r="C10">
            <v>3381</v>
          </cell>
        </row>
        <row r="11">
          <cell r="C11">
            <v>0</v>
          </cell>
        </row>
        <row r="12">
          <cell r="C12">
            <v>2409</v>
          </cell>
        </row>
        <row r="13">
          <cell r="C13">
            <v>1577</v>
          </cell>
        </row>
        <row r="14">
          <cell r="C14">
            <v>832</v>
          </cell>
        </row>
        <row r="15">
          <cell r="C15">
            <v>0</v>
          </cell>
        </row>
        <row r="16">
          <cell r="C16">
            <v>8961</v>
          </cell>
        </row>
        <row r="17">
          <cell r="C17">
            <v>4694</v>
          </cell>
        </row>
        <row r="18">
          <cell r="C18">
            <v>404</v>
          </cell>
        </row>
        <row r="19">
          <cell r="C19">
            <v>3863</v>
          </cell>
        </row>
        <row r="20">
          <cell r="C20">
            <v>0</v>
          </cell>
        </row>
        <row r="21">
          <cell r="C21">
            <v>6143</v>
          </cell>
        </row>
        <row r="22">
          <cell r="C22">
            <v>451</v>
          </cell>
        </row>
        <row r="23">
          <cell r="C23">
            <v>4396</v>
          </cell>
        </row>
        <row r="24">
          <cell r="C24">
            <v>0</v>
          </cell>
        </row>
        <row r="25">
          <cell r="C25">
            <v>1242</v>
          </cell>
        </row>
        <row r="26">
          <cell r="C26">
            <v>8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46</v>
          </cell>
        </row>
        <row r="30">
          <cell r="C30">
            <v>34</v>
          </cell>
        </row>
        <row r="31">
          <cell r="C31">
            <v>10</v>
          </cell>
        </row>
        <row r="32">
          <cell r="C32">
            <v>2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4</v>
          </cell>
        </row>
        <row r="36">
          <cell r="C36">
            <v>5</v>
          </cell>
        </row>
        <row r="37">
          <cell r="C37">
            <v>2</v>
          </cell>
        </row>
        <row r="38">
          <cell r="C38">
            <v>1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1777</v>
          </cell>
        </row>
        <row r="43">
          <cell r="C43">
            <v>13000</v>
          </cell>
        </row>
        <row r="44">
          <cell r="C44">
            <v>6023</v>
          </cell>
        </row>
        <row r="45">
          <cell r="C45">
            <v>170</v>
          </cell>
        </row>
        <row r="46">
          <cell r="C46">
            <v>71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2</v>
          </cell>
        </row>
        <row r="50">
          <cell r="C50">
            <v>47</v>
          </cell>
        </row>
        <row r="51">
          <cell r="C51">
            <v>11</v>
          </cell>
        </row>
        <row r="52">
          <cell r="C52">
            <v>16</v>
          </cell>
        </row>
        <row r="53">
          <cell r="C53">
            <v>1036</v>
          </cell>
        </row>
        <row r="54">
          <cell r="C54">
            <v>873</v>
          </cell>
        </row>
        <row r="55">
          <cell r="C55">
            <v>535</v>
          </cell>
        </row>
        <row r="56">
          <cell r="C56">
            <v>323</v>
          </cell>
        </row>
        <row r="57">
          <cell r="C57">
            <v>409</v>
          </cell>
        </row>
        <row r="58">
          <cell r="C58">
            <v>113</v>
          </cell>
        </row>
        <row r="59">
          <cell r="C59">
            <v>13</v>
          </cell>
        </row>
        <row r="60">
          <cell r="C60">
            <v>15</v>
          </cell>
        </row>
        <row r="61">
          <cell r="C61">
            <v>5</v>
          </cell>
        </row>
        <row r="62">
          <cell r="C62">
            <v>8</v>
          </cell>
        </row>
        <row r="63">
          <cell r="C63">
            <v>8</v>
          </cell>
        </row>
        <row r="64">
          <cell r="C64">
            <v>7</v>
          </cell>
        </row>
        <row r="65">
          <cell r="C65">
            <v>47</v>
          </cell>
        </row>
        <row r="66">
          <cell r="C66">
            <v>4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897</v>
          </cell>
        </row>
        <row r="71">
          <cell r="C71">
            <v>895</v>
          </cell>
        </row>
        <row r="72">
          <cell r="C72">
            <v>0</v>
          </cell>
        </row>
        <row r="73">
          <cell r="C73">
            <v>518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3506</v>
          </cell>
        </row>
        <row r="77">
          <cell r="C77">
            <v>1401</v>
          </cell>
        </row>
        <row r="78">
          <cell r="C78">
            <v>2105</v>
          </cell>
        </row>
        <row r="79">
          <cell r="C79">
            <v>1505</v>
          </cell>
        </row>
        <row r="80">
          <cell r="C80">
            <v>1200</v>
          </cell>
        </row>
        <row r="81">
          <cell r="C81">
            <v>305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МОБ"/>
      <sheetName val="ДБ"/>
      <sheetName val="ЦОМИД"/>
      <sheetName val="ГП"/>
      <sheetName val="МИР"/>
      <sheetName val="ДАНТИСТ 21 ВЕК"/>
      <sheetName val="ПРИМОР ЦЕНТР"/>
      <sheetName val="08"/>
      <sheetName val="09"/>
      <sheetName val="10"/>
      <sheetName val="11"/>
      <sheetName val="12"/>
      <sheetName val="П. МЭК"/>
    </sheetNames>
    <sheetDataSet>
      <sheetData sheetId="3">
        <row r="63">
          <cell r="E63">
            <v>14712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578"/>
  <sheetViews>
    <sheetView view="pageBreakPreview" zoomScale="90" zoomScaleSheetLayoutView="90" zoomScalePageLayoutView="0" workbookViewId="0" topLeftCell="A111">
      <selection activeCell="D125" sqref="D125"/>
    </sheetView>
  </sheetViews>
  <sheetFormatPr defaultColWidth="9.140625" defaultRowHeight="12.75"/>
  <cols>
    <col min="1" max="1" width="49.00390625" style="223" customWidth="1"/>
    <col min="2" max="2" width="12.57421875" style="223" customWidth="1"/>
    <col min="3" max="3" width="18.00390625" style="295" customWidth="1"/>
    <col min="4" max="4" width="14.00390625" style="295" customWidth="1"/>
    <col min="5" max="5" width="13.7109375" style="296" customWidth="1"/>
    <col min="6" max="6" width="13.7109375" style="224" customWidth="1"/>
    <col min="7" max="7" width="12.28125" style="223" bestFit="1" customWidth="1"/>
    <col min="8" max="8" width="18.00390625" style="223" customWidth="1"/>
    <col min="9" max="9" width="15.8515625" style="223" customWidth="1"/>
    <col min="10" max="10" width="15.421875" style="223" customWidth="1"/>
    <col min="11" max="12" width="9.140625" style="223" customWidth="1"/>
    <col min="13" max="13" width="13.28125" style="223" customWidth="1"/>
    <col min="14" max="14" width="18.140625" style="223" customWidth="1"/>
    <col min="15" max="15" width="13.8515625" style="223" customWidth="1"/>
    <col min="16" max="16" width="16.8515625" style="223" customWidth="1"/>
    <col min="17" max="22" width="9.140625" style="223" customWidth="1"/>
    <col min="23" max="23" width="11.421875" style="223" customWidth="1"/>
    <col min="24" max="16384" width="9.140625" style="223" customWidth="1"/>
  </cols>
  <sheetData>
    <row r="1" spans="2:8" ht="21.75" customHeight="1">
      <c r="B1" s="505"/>
      <c r="C1" s="505"/>
      <c r="D1" s="719" t="s">
        <v>109</v>
      </c>
      <c r="E1" s="719"/>
      <c r="F1" s="719"/>
      <c r="H1" s="223">
        <v>1</v>
      </c>
    </row>
    <row r="2" spans="2:6" ht="21.75" customHeight="1">
      <c r="B2" s="505"/>
      <c r="C2" s="505"/>
      <c r="D2" s="719" t="s">
        <v>110</v>
      </c>
      <c r="E2" s="719"/>
      <c r="F2" s="719"/>
    </row>
    <row r="3" spans="2:6" ht="21.75" customHeight="1">
      <c r="B3" s="505"/>
      <c r="C3" s="505"/>
      <c r="D3" s="719" t="s">
        <v>542</v>
      </c>
      <c r="E3" s="719"/>
      <c r="F3" s="719"/>
    </row>
    <row r="4" spans="3:6" ht="21" customHeight="1">
      <c r="C4" s="707"/>
      <c r="D4" s="707"/>
      <c r="E4" s="707"/>
      <c r="F4" s="223"/>
    </row>
    <row r="5" spans="1:6" ht="36" customHeight="1">
      <c r="A5" s="720" t="s">
        <v>348</v>
      </c>
      <c r="B5" s="720"/>
      <c r="C5" s="720"/>
      <c r="D5" s="720"/>
      <c r="E5" s="720"/>
      <c r="F5" s="720"/>
    </row>
    <row r="6" spans="1:6" ht="23.25" customHeight="1">
      <c r="A6" s="385"/>
      <c r="B6" s="385"/>
      <c r="C6" s="385"/>
      <c r="D6" s="385"/>
      <c r="E6" s="427"/>
      <c r="F6" s="427" t="s">
        <v>290</v>
      </c>
    </row>
    <row r="7" spans="1:6" ht="16.5" customHeight="1">
      <c r="A7" s="721" t="s">
        <v>292</v>
      </c>
      <c r="B7" s="721"/>
      <c r="C7" s="721"/>
      <c r="D7" s="721"/>
      <c r="E7" s="721"/>
      <c r="F7" s="721"/>
    </row>
    <row r="8" spans="1:6" ht="12" customHeight="1" thickBot="1">
      <c r="A8" s="703"/>
      <c r="B8" s="703"/>
      <c r="C8" s="703"/>
      <c r="D8" s="703"/>
      <c r="E8" s="703"/>
      <c r="F8" s="223"/>
    </row>
    <row r="9" spans="1:6" ht="20.25" customHeight="1">
      <c r="A9" s="704" t="s">
        <v>4</v>
      </c>
      <c r="B9" s="715" t="s">
        <v>195</v>
      </c>
      <c r="C9" s="716"/>
      <c r="D9" s="716"/>
      <c r="E9" s="716"/>
      <c r="F9" s="717"/>
    </row>
    <row r="10" spans="1:6" ht="18" customHeight="1">
      <c r="A10" s="708"/>
      <c r="B10" s="679" t="s">
        <v>479</v>
      </c>
      <c r="C10" s="710" t="s">
        <v>206</v>
      </c>
      <c r="D10" s="711"/>
      <c r="E10" s="711"/>
      <c r="F10" s="712"/>
    </row>
    <row r="11" spans="1:6" ht="42.75" customHeight="1">
      <c r="A11" s="708"/>
      <c r="B11" s="718"/>
      <c r="C11" s="543" t="s">
        <v>196</v>
      </c>
      <c r="D11" s="543" t="s">
        <v>44</v>
      </c>
      <c r="E11" s="524" t="s">
        <v>45</v>
      </c>
      <c r="F11" s="546" t="s">
        <v>476</v>
      </c>
    </row>
    <row r="12" spans="1:6" ht="38.25" customHeight="1" thickBot="1">
      <c r="A12" s="709"/>
      <c r="B12" s="516" t="s">
        <v>477</v>
      </c>
      <c r="C12" s="516" t="s">
        <v>481</v>
      </c>
      <c r="D12" s="513" t="s">
        <v>477</v>
      </c>
      <c r="E12" s="514" t="s">
        <v>478</v>
      </c>
      <c r="F12" s="547" t="s">
        <v>482</v>
      </c>
    </row>
    <row r="13" spans="1:6" ht="21" customHeight="1">
      <c r="A13" s="691" t="s">
        <v>245</v>
      </c>
      <c r="B13" s="692"/>
      <c r="C13" s="692"/>
      <c r="D13" s="692"/>
      <c r="E13" s="692"/>
      <c r="F13" s="693"/>
    </row>
    <row r="14" spans="1:23" ht="16.5" customHeight="1">
      <c r="A14" s="512" t="s">
        <v>68</v>
      </c>
      <c r="B14" s="236">
        <f>ROUND(C14+D14+E14*2.9+F14*$H$1,0)</f>
        <v>22582</v>
      </c>
      <c r="C14" s="355">
        <v>3896</v>
      </c>
      <c r="D14" s="345">
        <v>869</v>
      </c>
      <c r="E14" s="345">
        <f>5912</f>
        <v>5912</v>
      </c>
      <c r="F14" s="548">
        <f>'1.2. Диспансерное наблюдение'!$E$9-'1.2. Диспансерное наблюдение'!F9</f>
        <v>672</v>
      </c>
      <c r="G14" s="224"/>
      <c r="H14" s="224"/>
      <c r="I14" s="224"/>
      <c r="J14" s="224"/>
      <c r="K14" s="224"/>
      <c r="P14" s="224"/>
      <c r="Q14" s="224"/>
      <c r="R14" s="224"/>
      <c r="S14" s="224"/>
      <c r="T14" s="224"/>
      <c r="U14" s="224"/>
      <c r="V14" s="224"/>
      <c r="W14" s="224"/>
    </row>
    <row r="15" spans="1:23" ht="16.5" customHeight="1">
      <c r="A15" s="504" t="s">
        <v>46</v>
      </c>
      <c r="B15" s="236">
        <f>ROUND(C15+D15+E15*2.9+F15*$H$1,0)-1</f>
        <v>9508</v>
      </c>
      <c r="C15" s="344">
        <f>3096-674</f>
        <v>2422</v>
      </c>
      <c r="D15" s="345">
        <f>484-111</f>
        <v>373</v>
      </c>
      <c r="E15" s="345">
        <f>3072-757</f>
        <v>2315</v>
      </c>
      <c r="F15" s="544">
        <v>0</v>
      </c>
      <c r="G15" s="224"/>
      <c r="H15" s="224"/>
      <c r="I15" s="224"/>
      <c r="J15" s="224"/>
      <c r="K15" s="224"/>
      <c r="P15" s="224"/>
      <c r="Q15" s="224"/>
      <c r="R15" s="224"/>
      <c r="S15" s="224"/>
      <c r="T15" s="224"/>
      <c r="U15" s="224"/>
      <c r="V15" s="224"/>
      <c r="W15" s="224"/>
    </row>
    <row r="16" spans="1:23" ht="16.5" customHeight="1">
      <c r="A16" s="228" t="s">
        <v>9</v>
      </c>
      <c r="B16" s="236">
        <f aca="true" t="shared" si="0" ref="B16:B47">ROUND(C16+D16+E16*2.9+F16*$H$1,0)</f>
        <v>3143</v>
      </c>
      <c r="C16" s="344">
        <f>490+550</f>
        <v>1040</v>
      </c>
      <c r="D16" s="438">
        <v>0</v>
      </c>
      <c r="E16" s="438">
        <f>512+213</f>
        <v>725</v>
      </c>
      <c r="F16" s="544">
        <v>0</v>
      </c>
      <c r="G16" s="224"/>
      <c r="H16" s="224"/>
      <c r="I16" s="224"/>
      <c r="J16" s="224"/>
      <c r="K16" s="224"/>
      <c r="P16" s="224"/>
      <c r="Q16" s="224"/>
      <c r="R16" s="224"/>
      <c r="S16" s="224"/>
      <c r="T16" s="224"/>
      <c r="U16" s="224"/>
      <c r="V16" s="224"/>
      <c r="W16" s="224"/>
    </row>
    <row r="17" spans="1:23" ht="16.5" customHeight="1">
      <c r="A17" s="228" t="s">
        <v>11</v>
      </c>
      <c r="B17" s="225">
        <f t="shared" si="0"/>
        <v>989</v>
      </c>
      <c r="C17" s="344">
        <v>600</v>
      </c>
      <c r="D17" s="438">
        <v>0</v>
      </c>
      <c r="E17" s="438">
        <v>134</v>
      </c>
      <c r="F17" s="544">
        <v>0</v>
      </c>
      <c r="G17" s="224"/>
      <c r="H17" s="224"/>
      <c r="I17" s="224"/>
      <c r="J17" s="224"/>
      <c r="K17" s="224"/>
      <c r="P17" s="224"/>
      <c r="Q17" s="224"/>
      <c r="R17" s="224"/>
      <c r="S17" s="224"/>
      <c r="T17" s="224"/>
      <c r="U17" s="224"/>
      <c r="V17" s="224"/>
      <c r="W17" s="224"/>
    </row>
    <row r="18" spans="1:23" ht="16.5" customHeight="1">
      <c r="A18" s="228" t="s">
        <v>13</v>
      </c>
      <c r="B18" s="225">
        <f t="shared" si="0"/>
        <v>12747</v>
      </c>
      <c r="C18" s="344">
        <f>2228+838</f>
        <v>3066</v>
      </c>
      <c r="D18" s="438">
        <f>369+132</f>
        <v>501</v>
      </c>
      <c r="E18" s="438">
        <f>2339+715</f>
        <v>3054</v>
      </c>
      <c r="F18" s="548">
        <f>'1.2. Диспансерное наблюдение'!$E$10-'1.2. Диспансерное наблюдение'!$G$10</f>
        <v>323</v>
      </c>
      <c r="G18" s="224"/>
      <c r="H18" s="224"/>
      <c r="I18" s="224"/>
      <c r="J18" s="224"/>
      <c r="K18" s="224"/>
      <c r="P18" s="224"/>
      <c r="Q18" s="224"/>
      <c r="R18" s="224"/>
      <c r="S18" s="224"/>
      <c r="T18" s="224"/>
      <c r="U18" s="224"/>
      <c r="V18" s="224"/>
      <c r="W18" s="224"/>
    </row>
    <row r="19" spans="1:23" ht="16.5" customHeight="1">
      <c r="A19" s="228" t="s">
        <v>480</v>
      </c>
      <c r="B19" s="236">
        <f t="shared" si="0"/>
        <v>4970</v>
      </c>
      <c r="C19" s="344">
        <f>615+696</f>
        <v>1311</v>
      </c>
      <c r="D19" s="438">
        <f>81+113</f>
        <v>194</v>
      </c>
      <c r="E19" s="438">
        <f>507+600</f>
        <v>1107</v>
      </c>
      <c r="F19" s="549">
        <f>'1.2. Диспансерное наблюдение'!$E$11</f>
        <v>255</v>
      </c>
      <c r="G19" s="224"/>
      <c r="H19" s="224"/>
      <c r="I19" s="224"/>
      <c r="J19" s="224"/>
      <c r="K19" s="224"/>
      <c r="P19" s="224"/>
      <c r="Q19" s="224"/>
      <c r="R19" s="224"/>
      <c r="S19" s="224"/>
      <c r="T19" s="224"/>
      <c r="U19" s="224"/>
      <c r="V19" s="224"/>
      <c r="W19" s="224"/>
    </row>
    <row r="20" spans="1:23" ht="16.5" customHeight="1">
      <c r="A20" s="228" t="s">
        <v>64</v>
      </c>
      <c r="B20" s="236">
        <f t="shared" si="0"/>
        <v>5141</v>
      </c>
      <c r="C20" s="344">
        <f>725+320</f>
        <v>1045</v>
      </c>
      <c r="D20" s="345">
        <f>34+66+226</f>
        <v>326</v>
      </c>
      <c r="E20" s="345">
        <f>853+413</f>
        <v>1266</v>
      </c>
      <c r="F20" s="548">
        <f>'1.2. Диспансерное наблюдение'!$E$12</f>
        <v>99</v>
      </c>
      <c r="G20" s="224"/>
      <c r="H20" s="224"/>
      <c r="I20" s="224"/>
      <c r="J20" s="224"/>
      <c r="K20" s="224"/>
      <c r="P20" s="224"/>
      <c r="Q20" s="224"/>
      <c r="R20" s="224"/>
      <c r="S20" s="224"/>
      <c r="T20" s="224"/>
      <c r="U20" s="224"/>
      <c r="V20" s="224"/>
      <c r="W20" s="224"/>
    </row>
    <row r="21" spans="1:11" ht="15">
      <c r="A21" s="228" t="s">
        <v>3</v>
      </c>
      <c r="B21" s="225">
        <f t="shared" si="0"/>
        <v>17730</v>
      </c>
      <c r="C21" s="344">
        <f>2766+824</f>
        <v>3590</v>
      </c>
      <c r="D21" s="438">
        <f>554+136+113</f>
        <v>803</v>
      </c>
      <c r="E21" s="438">
        <f>3515+687</f>
        <v>4202</v>
      </c>
      <c r="F21" s="549">
        <f>'1.2. Диспансерное наблюдение'!$E$13</f>
        <v>1151</v>
      </c>
      <c r="G21" s="224"/>
      <c r="H21" s="224"/>
      <c r="I21" s="224"/>
      <c r="J21" s="224"/>
      <c r="K21" s="224"/>
    </row>
    <row r="22" spans="1:11" ht="15">
      <c r="A22" s="229" t="s">
        <v>12</v>
      </c>
      <c r="B22" s="225">
        <f>ROUND(C22+D22+E22*2.9+F22*$H$1,0)+1</f>
        <v>1593</v>
      </c>
      <c r="C22" s="344">
        <f>303+380-380</f>
        <v>303</v>
      </c>
      <c r="D22" s="438">
        <f>4+371-2</f>
        <v>373</v>
      </c>
      <c r="E22" s="438">
        <f>316+289-289</f>
        <v>316</v>
      </c>
      <c r="F22" s="544">
        <v>0</v>
      </c>
      <c r="G22" s="224"/>
      <c r="H22" s="224"/>
      <c r="I22" s="224"/>
      <c r="J22" s="224"/>
      <c r="K22" s="224"/>
    </row>
    <row r="23" spans="1:23" ht="16.5" customHeight="1">
      <c r="A23" s="228" t="s">
        <v>8</v>
      </c>
      <c r="B23" s="236">
        <f t="shared" si="0"/>
        <v>456</v>
      </c>
      <c r="C23" s="344">
        <v>215</v>
      </c>
      <c r="D23" s="345">
        <v>0</v>
      </c>
      <c r="E23" s="656">
        <f>85-2</f>
        <v>83</v>
      </c>
      <c r="F23" s="544">
        <v>0</v>
      </c>
      <c r="G23" s="224"/>
      <c r="H23" s="224"/>
      <c r="I23" s="224"/>
      <c r="J23" s="224"/>
      <c r="K23" s="224"/>
      <c r="P23" s="224"/>
      <c r="Q23" s="224"/>
      <c r="R23" s="224"/>
      <c r="S23" s="224"/>
      <c r="T23" s="224"/>
      <c r="U23" s="224"/>
      <c r="V23" s="224"/>
      <c r="W23" s="224"/>
    </row>
    <row r="24" spans="1:23" ht="15.75" customHeight="1">
      <c r="A24" s="229" t="s">
        <v>6</v>
      </c>
      <c r="B24" s="225">
        <f t="shared" si="0"/>
        <v>4558</v>
      </c>
      <c r="C24" s="344">
        <f>300+339</f>
        <v>639</v>
      </c>
      <c r="D24" s="438">
        <f>135+52</f>
        <v>187</v>
      </c>
      <c r="E24" s="438">
        <f>807+232</f>
        <v>1039</v>
      </c>
      <c r="F24" s="548">
        <f>'1.2. Диспансерное наблюдение'!$E$14-'1.2. Диспансерное наблюдение'!$F$14</f>
        <v>719</v>
      </c>
      <c r="G24" s="224"/>
      <c r="H24" s="224"/>
      <c r="I24" s="224"/>
      <c r="J24" s="224"/>
      <c r="K24" s="224"/>
      <c r="P24" s="224"/>
      <c r="Q24" s="224"/>
      <c r="R24" s="224"/>
      <c r="S24" s="224"/>
      <c r="T24" s="224"/>
      <c r="U24" s="224"/>
      <c r="V24" s="224"/>
      <c r="W24" s="224"/>
    </row>
    <row r="25" spans="1:23" ht="15.75" customHeight="1">
      <c r="A25" s="228" t="s">
        <v>76</v>
      </c>
      <c r="B25" s="225">
        <f t="shared" si="0"/>
        <v>11101</v>
      </c>
      <c r="C25" s="344">
        <f>2018+800</f>
        <v>2818</v>
      </c>
      <c r="D25" s="438">
        <f>310+165-12</f>
        <v>463</v>
      </c>
      <c r="E25" s="438">
        <f>1814+804</f>
        <v>2618</v>
      </c>
      <c r="F25" s="548">
        <f>'1.2. Диспансерное наблюдение'!$E$15</f>
        <v>228</v>
      </c>
      <c r="G25" s="224"/>
      <c r="H25" s="224"/>
      <c r="I25" s="224"/>
      <c r="J25" s="224"/>
      <c r="K25" s="224"/>
      <c r="P25" s="224"/>
      <c r="Q25" s="224"/>
      <c r="R25" s="224"/>
      <c r="S25" s="224"/>
      <c r="T25" s="224"/>
      <c r="U25" s="224"/>
      <c r="V25" s="224"/>
      <c r="W25" s="224"/>
    </row>
    <row r="26" spans="1:23" ht="15.75" customHeight="1">
      <c r="A26" s="228" t="s">
        <v>2</v>
      </c>
      <c r="B26" s="236">
        <f t="shared" si="0"/>
        <v>15984</v>
      </c>
      <c r="C26" s="344">
        <f>2093+796+397</f>
        <v>3286</v>
      </c>
      <c r="D26" s="438">
        <f>401+164+46+153</f>
        <v>764</v>
      </c>
      <c r="E26" s="438">
        <f>2600+1018+380</f>
        <v>3998</v>
      </c>
      <c r="F26" s="548">
        <f>'1.2. Диспансерное наблюдение'!$E$16</f>
        <v>340</v>
      </c>
      <c r="G26" s="224"/>
      <c r="H26" s="224"/>
      <c r="I26" s="224"/>
      <c r="J26" s="224"/>
      <c r="K26" s="224"/>
      <c r="P26" s="224"/>
      <c r="Q26" s="224"/>
      <c r="R26" s="224"/>
      <c r="S26" s="224"/>
      <c r="T26" s="224"/>
      <c r="U26" s="224"/>
      <c r="V26" s="224"/>
      <c r="W26" s="224"/>
    </row>
    <row r="27" spans="1:23" ht="16.5" customHeight="1">
      <c r="A27" s="239" t="s">
        <v>367</v>
      </c>
      <c r="B27" s="225">
        <f t="shared" si="0"/>
        <v>61371</v>
      </c>
      <c r="C27" s="344">
        <v>10388</v>
      </c>
      <c r="D27" s="438">
        <f>3025-1223</f>
        <v>1802</v>
      </c>
      <c r="E27" s="438">
        <v>16959</v>
      </c>
      <c r="F27" s="544">
        <v>0</v>
      </c>
      <c r="G27" s="224"/>
      <c r="H27" s="224"/>
      <c r="I27" s="224"/>
      <c r="J27" s="224"/>
      <c r="K27" s="224"/>
      <c r="P27" s="224"/>
      <c r="Q27" s="224"/>
      <c r="R27" s="224"/>
      <c r="S27" s="224"/>
      <c r="T27" s="224"/>
      <c r="U27" s="224"/>
      <c r="V27" s="224"/>
      <c r="W27" s="224"/>
    </row>
    <row r="28" spans="1:23" ht="30">
      <c r="A28" s="266" t="s">
        <v>393</v>
      </c>
      <c r="B28" s="263">
        <f t="shared" si="0"/>
        <v>7963</v>
      </c>
      <c r="C28" s="517">
        <f>SUM(C29:C31)</f>
        <v>7963</v>
      </c>
      <c r="D28" s="589">
        <v>0</v>
      </c>
      <c r="E28" s="589">
        <v>0</v>
      </c>
      <c r="F28" s="544">
        <v>0</v>
      </c>
      <c r="G28" s="224"/>
      <c r="H28" s="224"/>
      <c r="I28" s="224"/>
      <c r="J28" s="224"/>
      <c r="K28" s="224"/>
      <c r="P28" s="224"/>
      <c r="Q28" s="224"/>
      <c r="R28" s="224"/>
      <c r="S28" s="224"/>
      <c r="T28" s="224"/>
      <c r="U28" s="224"/>
      <c r="V28" s="224"/>
      <c r="W28" s="224"/>
    </row>
    <row r="29" spans="1:23" ht="30">
      <c r="A29" s="266" t="s">
        <v>145</v>
      </c>
      <c r="B29" s="263">
        <f t="shared" si="0"/>
        <v>116</v>
      </c>
      <c r="C29" s="517">
        <f>'1.1. ПРОФ.МЕРОПРИЯТИЯ'!C13</f>
        <v>116</v>
      </c>
      <c r="D29" s="589">
        <v>0</v>
      </c>
      <c r="E29" s="589">
        <v>0</v>
      </c>
      <c r="F29" s="544">
        <v>0</v>
      </c>
      <c r="G29" s="224"/>
      <c r="H29" s="224"/>
      <c r="I29" s="224"/>
      <c r="J29" s="224"/>
      <c r="K29" s="224"/>
      <c r="P29" s="224"/>
      <c r="Q29" s="224"/>
      <c r="R29" s="224"/>
      <c r="S29" s="224"/>
      <c r="T29" s="224"/>
      <c r="U29" s="224"/>
      <c r="V29" s="224"/>
      <c r="W29" s="224"/>
    </row>
    <row r="30" spans="1:23" ht="29.25" customHeight="1">
      <c r="A30" s="255" t="s">
        <v>146</v>
      </c>
      <c r="B30" s="256">
        <f t="shared" si="0"/>
        <v>184</v>
      </c>
      <c r="C30" s="517">
        <f>'1.1. ПРОФ.МЕРОПРИЯТИЯ'!D13</f>
        <v>184</v>
      </c>
      <c r="D30" s="589">
        <v>0</v>
      </c>
      <c r="E30" s="589">
        <v>0</v>
      </c>
      <c r="F30" s="544">
        <v>0</v>
      </c>
      <c r="G30" s="224"/>
      <c r="H30" s="224"/>
      <c r="I30" s="224"/>
      <c r="J30" s="224"/>
      <c r="K30" s="224"/>
      <c r="P30" s="224"/>
      <c r="Q30" s="224"/>
      <c r="R30" s="224"/>
      <c r="S30" s="224"/>
      <c r="T30" s="224"/>
      <c r="U30" s="224"/>
      <c r="V30" s="224"/>
      <c r="W30" s="224"/>
    </row>
    <row r="31" spans="1:23" ht="21.75" customHeight="1">
      <c r="A31" s="255" t="s">
        <v>147</v>
      </c>
      <c r="B31" s="256">
        <f t="shared" si="0"/>
        <v>7663</v>
      </c>
      <c r="C31" s="517">
        <f>'1.1. ПРОФ.МЕРОПРИЯТИЯ'!H13</f>
        <v>7663</v>
      </c>
      <c r="D31" s="589">
        <v>0</v>
      </c>
      <c r="E31" s="589">
        <v>0</v>
      </c>
      <c r="F31" s="544">
        <v>0</v>
      </c>
      <c r="G31" s="224"/>
      <c r="H31" s="224"/>
      <c r="I31" s="224"/>
      <c r="J31" s="224"/>
      <c r="K31" s="224"/>
      <c r="P31" s="224"/>
      <c r="Q31" s="224"/>
      <c r="R31" s="224"/>
      <c r="S31" s="224"/>
      <c r="T31" s="224"/>
      <c r="U31" s="224"/>
      <c r="V31" s="224"/>
      <c r="W31" s="224"/>
    </row>
    <row r="32" spans="1:23" ht="28.5" customHeight="1">
      <c r="A32" s="229" t="s">
        <v>10</v>
      </c>
      <c r="B32" s="236">
        <f t="shared" si="0"/>
        <v>1918</v>
      </c>
      <c r="C32" s="344">
        <f>245+365</f>
        <v>610</v>
      </c>
      <c r="D32" s="438">
        <v>0</v>
      </c>
      <c r="E32" s="438">
        <f>256+195</f>
        <v>451</v>
      </c>
      <c r="F32" s="544">
        <v>0</v>
      </c>
      <c r="G32" s="224"/>
      <c r="H32" s="224"/>
      <c r="I32" s="224"/>
      <c r="J32" s="224"/>
      <c r="K32" s="224"/>
      <c r="P32" s="224"/>
      <c r="Q32" s="224"/>
      <c r="R32" s="224"/>
      <c r="S32" s="224"/>
      <c r="T32" s="224"/>
      <c r="U32" s="224"/>
      <c r="V32" s="224"/>
      <c r="W32" s="224"/>
    </row>
    <row r="33" spans="1:23" ht="17.25" customHeight="1">
      <c r="A33" s="229" t="s">
        <v>40</v>
      </c>
      <c r="B33" s="236">
        <f t="shared" si="0"/>
        <v>1120</v>
      </c>
      <c r="C33" s="344">
        <v>528</v>
      </c>
      <c r="D33" s="438">
        <v>0</v>
      </c>
      <c r="E33" s="345">
        <v>204</v>
      </c>
      <c r="F33" s="544">
        <v>0</v>
      </c>
      <c r="G33" s="224"/>
      <c r="H33" s="224"/>
      <c r="I33" s="224"/>
      <c r="J33" s="224"/>
      <c r="K33" s="224"/>
      <c r="P33" s="224"/>
      <c r="Q33" s="224"/>
      <c r="R33" s="224"/>
      <c r="S33" s="224"/>
      <c r="T33" s="224"/>
      <c r="U33" s="224"/>
      <c r="V33" s="224"/>
      <c r="W33" s="224"/>
    </row>
    <row r="34" spans="1:23" ht="17.25" customHeight="1">
      <c r="A34" s="229" t="s">
        <v>485</v>
      </c>
      <c r="B34" s="225">
        <f t="shared" si="0"/>
        <v>1966</v>
      </c>
      <c r="C34" s="344">
        <f>245+300</f>
        <v>545</v>
      </c>
      <c r="D34" s="438">
        <v>0</v>
      </c>
      <c r="E34" s="438">
        <f>256+234</f>
        <v>490</v>
      </c>
      <c r="F34" s="544">
        <v>0</v>
      </c>
      <c r="G34" s="224"/>
      <c r="H34" s="224"/>
      <c r="I34" s="224"/>
      <c r="J34" s="224"/>
      <c r="K34" s="224"/>
      <c r="P34" s="224"/>
      <c r="Q34" s="224"/>
      <c r="R34" s="224"/>
      <c r="S34" s="224"/>
      <c r="T34" s="224"/>
      <c r="U34" s="224"/>
      <c r="V34" s="224"/>
      <c r="W34" s="224"/>
    </row>
    <row r="35" spans="1:23" ht="17.25" customHeight="1">
      <c r="A35" s="228" t="s">
        <v>35</v>
      </c>
      <c r="B35" s="225">
        <f t="shared" si="0"/>
        <v>42472</v>
      </c>
      <c r="C35" s="344">
        <f>9898-51</f>
        <v>9847</v>
      </c>
      <c r="D35" s="438">
        <f>1760-46</f>
        <v>1714</v>
      </c>
      <c r="E35" s="438">
        <f>10857-198</f>
        <v>10659</v>
      </c>
      <c r="F35" s="544">
        <v>0</v>
      </c>
      <c r="G35" s="224"/>
      <c r="H35" s="338"/>
      <c r="I35" s="338"/>
      <c r="J35" s="338"/>
      <c r="K35" s="338"/>
      <c r="P35" s="224"/>
      <c r="Q35" s="224"/>
      <c r="R35" s="224"/>
      <c r="S35" s="224"/>
      <c r="T35" s="224"/>
      <c r="U35" s="224"/>
      <c r="V35" s="224"/>
      <c r="W35" s="224"/>
    </row>
    <row r="36" spans="1:23" ht="27" customHeight="1">
      <c r="A36" s="228" t="s">
        <v>496</v>
      </c>
      <c r="B36" s="225">
        <f t="shared" si="0"/>
        <v>3687</v>
      </c>
      <c r="C36" s="344">
        <f>2150-300</f>
        <v>1850</v>
      </c>
      <c r="D36" s="438">
        <v>506</v>
      </c>
      <c r="E36" s="438">
        <v>459</v>
      </c>
      <c r="F36" s="544">
        <v>0</v>
      </c>
      <c r="G36" s="224"/>
      <c r="H36" s="224"/>
      <c r="I36" s="224"/>
      <c r="J36" s="224"/>
      <c r="K36" s="224"/>
      <c r="P36" s="224"/>
      <c r="Q36" s="224"/>
      <c r="R36" s="224"/>
      <c r="S36" s="224"/>
      <c r="T36" s="224"/>
      <c r="U36" s="224"/>
      <c r="V36" s="224"/>
      <c r="W36" s="224"/>
    </row>
    <row r="37" spans="1:23" ht="17.25" customHeight="1">
      <c r="A37" s="229" t="s">
        <v>368</v>
      </c>
      <c r="B37" s="225">
        <f t="shared" si="0"/>
        <v>77969</v>
      </c>
      <c r="C37" s="344">
        <f>17838+730</f>
        <v>18568</v>
      </c>
      <c r="D37" s="438">
        <f>2935+65-787+540</f>
        <v>2753</v>
      </c>
      <c r="E37" s="438">
        <f>16877+472</f>
        <v>17349</v>
      </c>
      <c r="F37" s="548">
        <f>'1.2. Диспансерное наблюдение'!$E$17</f>
        <v>6336</v>
      </c>
      <c r="G37" s="224"/>
      <c r="H37" s="224"/>
      <c r="I37" s="224"/>
      <c r="J37" s="224"/>
      <c r="K37" s="224"/>
      <c r="P37" s="224"/>
      <c r="Q37" s="224"/>
      <c r="R37" s="224"/>
      <c r="S37" s="224"/>
      <c r="T37" s="224"/>
      <c r="U37" s="224"/>
      <c r="V37" s="224"/>
      <c r="W37" s="224"/>
    </row>
    <row r="38" spans="1:23" ht="28.5" customHeight="1">
      <c r="A38" s="255" t="s">
        <v>393</v>
      </c>
      <c r="B38" s="263">
        <f t="shared" si="0"/>
        <v>15425</v>
      </c>
      <c r="C38" s="349">
        <f>C39+C41</f>
        <v>15425</v>
      </c>
      <c r="D38" s="589">
        <v>0</v>
      </c>
      <c r="E38" s="589">
        <v>0</v>
      </c>
      <c r="F38" s="544">
        <v>0</v>
      </c>
      <c r="G38" s="224">
        <f>B29+B30+B39</f>
        <v>12946</v>
      </c>
      <c r="H38" s="224"/>
      <c r="I38" s="224"/>
      <c r="J38" s="224"/>
      <c r="K38" s="224"/>
      <c r="P38" s="224"/>
      <c r="Q38" s="224"/>
      <c r="R38" s="224"/>
      <c r="S38" s="224"/>
      <c r="T38" s="224"/>
      <c r="U38" s="224"/>
      <c r="V38" s="224"/>
      <c r="W38" s="224"/>
    </row>
    <row r="39" spans="1:23" ht="28.5" customHeight="1">
      <c r="A39" s="255" t="s">
        <v>370</v>
      </c>
      <c r="B39" s="263">
        <f t="shared" si="0"/>
        <v>12646</v>
      </c>
      <c r="C39" s="349">
        <f>'1.1. ПРОФ.МЕРОПРИЯТИЯ'!E13</f>
        <v>12646</v>
      </c>
      <c r="D39" s="589">
        <v>0</v>
      </c>
      <c r="E39" s="589">
        <v>0</v>
      </c>
      <c r="F39" s="544">
        <v>0</v>
      </c>
      <c r="G39" s="224"/>
      <c r="H39" s="224"/>
      <c r="I39" s="224"/>
      <c r="J39" s="224"/>
      <c r="K39" s="224"/>
      <c r="P39" s="224"/>
      <c r="Q39" s="224"/>
      <c r="R39" s="224"/>
      <c r="S39" s="224"/>
      <c r="T39" s="224"/>
      <c r="U39" s="224"/>
      <c r="V39" s="224"/>
      <c r="W39" s="224"/>
    </row>
    <row r="40" spans="1:23" ht="17.25" customHeight="1">
      <c r="A40" s="255" t="s">
        <v>369</v>
      </c>
      <c r="B40" s="263">
        <f t="shared" si="0"/>
        <v>867</v>
      </c>
      <c r="C40" s="349">
        <f>'1.1. ПРОФ.МЕРОПРИЯТИЯ'!F13</f>
        <v>867</v>
      </c>
      <c r="D40" s="589">
        <v>0</v>
      </c>
      <c r="E40" s="589">
        <v>0</v>
      </c>
      <c r="F40" s="544">
        <v>0</v>
      </c>
      <c r="G40" s="224"/>
      <c r="H40" s="224"/>
      <c r="I40" s="224"/>
      <c r="J40" s="224"/>
      <c r="K40" s="224"/>
      <c r="P40" s="224"/>
      <c r="Q40" s="224"/>
      <c r="R40" s="224"/>
      <c r="S40" s="224"/>
      <c r="T40" s="224"/>
      <c r="U40" s="224"/>
      <c r="V40" s="224"/>
      <c r="W40" s="224"/>
    </row>
    <row r="41" spans="1:23" ht="23.25" customHeight="1">
      <c r="A41" s="255" t="s">
        <v>203</v>
      </c>
      <c r="B41" s="263">
        <f t="shared" si="0"/>
        <v>2779</v>
      </c>
      <c r="C41" s="349">
        <f>'1.1. ПРОФ.МЕРОПРИЯТИЯ'!I13</f>
        <v>2779</v>
      </c>
      <c r="D41" s="589">
        <v>0</v>
      </c>
      <c r="E41" s="589">
        <v>0</v>
      </c>
      <c r="F41" s="544">
        <v>0</v>
      </c>
      <c r="G41" s="224">
        <f>B41+B31</f>
        <v>10442</v>
      </c>
      <c r="H41" s="224"/>
      <c r="I41" s="224"/>
      <c r="J41" s="224"/>
      <c r="K41" s="224"/>
      <c r="P41" s="224"/>
      <c r="Q41" s="224"/>
      <c r="R41" s="224"/>
      <c r="S41" s="224"/>
      <c r="T41" s="224"/>
      <c r="U41" s="224"/>
      <c r="V41" s="224"/>
      <c r="W41" s="224"/>
    </row>
    <row r="42" spans="1:23" ht="18.75" customHeight="1">
      <c r="A42" s="229" t="s">
        <v>66</v>
      </c>
      <c r="B42" s="225">
        <f t="shared" si="0"/>
        <v>4970</v>
      </c>
      <c r="C42" s="344">
        <f>669+490</f>
        <v>1159</v>
      </c>
      <c r="D42" s="438">
        <f>123+81+158</f>
        <v>362</v>
      </c>
      <c r="E42" s="438">
        <f>707+477</f>
        <v>1184</v>
      </c>
      <c r="F42" s="549">
        <f>'1.2. Диспансерное наблюдение'!$E$18</f>
        <v>15</v>
      </c>
      <c r="G42" s="224"/>
      <c r="H42" s="224"/>
      <c r="I42" s="224"/>
      <c r="J42" s="224"/>
      <c r="K42" s="224"/>
      <c r="P42" s="224"/>
      <c r="Q42" s="224"/>
      <c r="R42" s="224"/>
      <c r="S42" s="224"/>
      <c r="T42" s="224"/>
      <c r="U42" s="224"/>
      <c r="V42" s="224"/>
      <c r="W42" s="224"/>
    </row>
    <row r="43" spans="1:23" ht="17.25" customHeight="1">
      <c r="A43" s="229" t="s">
        <v>1</v>
      </c>
      <c r="B43" s="236">
        <f t="shared" si="0"/>
        <v>2600</v>
      </c>
      <c r="C43" s="344">
        <f>361+459-153</f>
        <v>667</v>
      </c>
      <c r="D43" s="438">
        <v>0</v>
      </c>
      <c r="E43" s="438">
        <f>378+361-95</f>
        <v>644</v>
      </c>
      <c r="F43" s="548">
        <f>'1.2. Диспансерное наблюдение'!E19</f>
        <v>65</v>
      </c>
      <c r="G43" s="224"/>
      <c r="H43" s="224"/>
      <c r="I43" s="224"/>
      <c r="J43" s="224"/>
      <c r="K43" s="224"/>
      <c r="P43" s="224"/>
      <c r="Q43" s="224"/>
      <c r="R43" s="224"/>
      <c r="S43" s="224"/>
      <c r="T43" s="224"/>
      <c r="U43" s="224"/>
      <c r="V43" s="224"/>
      <c r="W43" s="224"/>
    </row>
    <row r="44" spans="1:23" ht="17.25" customHeight="1">
      <c r="A44" s="228" t="s">
        <v>36</v>
      </c>
      <c r="B44" s="225">
        <f t="shared" si="0"/>
        <v>5320</v>
      </c>
      <c r="C44" s="344">
        <v>1590</v>
      </c>
      <c r="D44" s="438">
        <v>288</v>
      </c>
      <c r="E44" s="438">
        <v>1187</v>
      </c>
      <c r="F44" s="544">
        <v>0</v>
      </c>
      <c r="G44" s="224"/>
      <c r="H44" s="224"/>
      <c r="I44" s="224"/>
      <c r="J44" s="224"/>
      <c r="K44" s="224"/>
      <c r="P44" s="224"/>
      <c r="Q44" s="224"/>
      <c r="R44" s="224"/>
      <c r="S44" s="224"/>
      <c r="T44" s="224"/>
      <c r="U44" s="224"/>
      <c r="V44" s="224"/>
      <c r="W44" s="224"/>
    </row>
    <row r="45" spans="1:23" ht="17.25" customHeight="1">
      <c r="A45" s="228" t="s">
        <v>497</v>
      </c>
      <c r="B45" s="225">
        <f t="shared" si="0"/>
        <v>12316</v>
      </c>
      <c r="C45" s="344">
        <v>3419</v>
      </c>
      <c r="D45" s="438">
        <v>733</v>
      </c>
      <c r="E45" s="438">
        <v>2815</v>
      </c>
      <c r="F45" s="544">
        <v>0</v>
      </c>
      <c r="G45" s="224"/>
      <c r="H45" s="224"/>
      <c r="I45" s="224"/>
      <c r="J45" s="224"/>
      <c r="K45" s="224"/>
      <c r="P45" s="224"/>
      <c r="Q45" s="224"/>
      <c r="R45" s="224"/>
      <c r="S45" s="224"/>
      <c r="T45" s="224"/>
      <c r="U45" s="224"/>
      <c r="V45" s="224"/>
      <c r="W45" s="224"/>
    </row>
    <row r="46" spans="1:23" ht="17.25" customHeight="1">
      <c r="A46" s="228" t="s">
        <v>33</v>
      </c>
      <c r="B46" s="225">
        <f t="shared" si="0"/>
        <v>24773</v>
      </c>
      <c r="C46" s="344">
        <v>3281</v>
      </c>
      <c r="D46" s="438">
        <f>1050+461</f>
        <v>1511</v>
      </c>
      <c r="E46" s="438">
        <v>6704</v>
      </c>
      <c r="F46" s="549">
        <f>'1.2. Диспансерное наблюдение'!$E$20</f>
        <v>539</v>
      </c>
      <c r="G46" s="224"/>
      <c r="H46" s="224"/>
      <c r="I46" s="224"/>
      <c r="J46" s="224"/>
      <c r="K46" s="224"/>
      <c r="P46" s="224"/>
      <c r="Q46" s="224"/>
      <c r="R46" s="224"/>
      <c r="S46" s="224"/>
      <c r="T46" s="224"/>
      <c r="U46" s="224"/>
      <c r="V46" s="224"/>
      <c r="W46" s="224"/>
    </row>
    <row r="47" spans="1:23" ht="17.25" customHeight="1" thickBot="1">
      <c r="A47" s="228" t="s">
        <v>5</v>
      </c>
      <c r="B47" s="225">
        <f t="shared" si="0"/>
        <v>6828</v>
      </c>
      <c r="C47" s="344">
        <f>799+592+380</f>
        <v>1771</v>
      </c>
      <c r="D47" s="438">
        <f>4+336+2</f>
        <v>342</v>
      </c>
      <c r="E47" s="438">
        <f>801+491+289</f>
        <v>1581</v>
      </c>
      <c r="F47" s="549">
        <f>'1.2. Диспансерное наблюдение'!$E$21</f>
        <v>130</v>
      </c>
      <c r="G47" s="224"/>
      <c r="H47" s="224"/>
      <c r="I47" s="224"/>
      <c r="J47" s="224"/>
      <c r="K47" s="224"/>
      <c r="P47" s="224"/>
      <c r="Q47" s="224"/>
      <c r="R47" s="224"/>
      <c r="S47" s="224"/>
      <c r="T47" s="224"/>
      <c r="U47" s="224"/>
      <c r="V47" s="224"/>
      <c r="W47" s="224"/>
    </row>
    <row r="48" spans="1:23" ht="23.25" customHeight="1" thickBot="1">
      <c r="A48" s="379" t="s">
        <v>222</v>
      </c>
      <c r="B48" s="233">
        <f>SUM(B14:B27,B32:B37,B42:B47)</f>
        <v>357812</v>
      </c>
      <c r="C48" s="233">
        <f>SUM(C14:C27,C32:C37,C42:C47)</f>
        <v>78454</v>
      </c>
      <c r="D48" s="233">
        <f>SUM(D14:D27,D32:D37,D42:D47)</f>
        <v>14864</v>
      </c>
      <c r="E48" s="233">
        <f>SUM(E14:E27,E32:E37,E42:E47)</f>
        <v>87455</v>
      </c>
      <c r="F48" s="552">
        <f>SUM(F14:F27,F32:F37,F42:F47)</f>
        <v>10872</v>
      </c>
      <c r="G48" s="224"/>
      <c r="H48" s="224"/>
      <c r="I48" s="224"/>
      <c r="J48" s="224"/>
      <c r="K48" s="224"/>
      <c r="P48" s="224"/>
      <c r="Q48" s="224"/>
      <c r="R48" s="224"/>
      <c r="S48" s="224"/>
      <c r="T48" s="224"/>
      <c r="U48" s="224"/>
      <c r="V48" s="224"/>
      <c r="W48" s="224"/>
    </row>
    <row r="49" spans="1:23" ht="16.5" customHeight="1" thickBot="1">
      <c r="A49" s="713" t="s">
        <v>56</v>
      </c>
      <c r="B49" s="714"/>
      <c r="C49" s="714"/>
      <c r="D49" s="714"/>
      <c r="E49" s="714"/>
      <c r="F49" s="522"/>
      <c r="G49" s="224"/>
      <c r="H49" s="224"/>
      <c r="I49" s="224"/>
      <c r="J49" s="224"/>
      <c r="K49" s="224"/>
      <c r="P49" s="224"/>
      <c r="Q49" s="224"/>
      <c r="R49" s="224"/>
      <c r="S49" s="224"/>
      <c r="T49" s="224"/>
      <c r="U49" s="224"/>
      <c r="V49" s="224"/>
      <c r="W49" s="224"/>
    </row>
    <row r="50" spans="1:23" ht="23.25" customHeight="1" thickBot="1">
      <c r="A50" s="519" t="s">
        <v>282</v>
      </c>
      <c r="B50" s="270">
        <f>ROUND(C50+D50+E50*2.9+F50*$H$1,0)</f>
        <v>20480</v>
      </c>
      <c r="C50" s="520">
        <f>6030-580</f>
        <v>5450</v>
      </c>
      <c r="D50" s="520">
        <v>0</v>
      </c>
      <c r="E50" s="521">
        <v>4954</v>
      </c>
      <c r="F50" s="550">
        <f>'1.2. Диспансерное наблюдение'!$G$10</f>
        <v>663</v>
      </c>
      <c r="G50" s="224"/>
      <c r="H50" s="224"/>
      <c r="I50" s="224"/>
      <c r="J50" s="224"/>
      <c r="K50" s="224"/>
      <c r="P50" s="224"/>
      <c r="Q50" s="224"/>
      <c r="R50" s="224"/>
      <c r="S50" s="224"/>
      <c r="T50" s="224"/>
      <c r="U50" s="224"/>
      <c r="V50" s="224"/>
      <c r="W50" s="224"/>
    </row>
    <row r="51" spans="1:23" ht="18.75" customHeight="1">
      <c r="A51" s="697" t="s">
        <v>221</v>
      </c>
      <c r="B51" s="698"/>
      <c r="C51" s="698"/>
      <c r="D51" s="698"/>
      <c r="E51" s="698"/>
      <c r="F51" s="523"/>
      <c r="G51" s="224"/>
      <c r="H51" s="224"/>
      <c r="I51" s="224"/>
      <c r="J51" s="224"/>
      <c r="K51" s="224"/>
      <c r="P51" s="224"/>
      <c r="Q51" s="224"/>
      <c r="R51" s="224"/>
      <c r="S51" s="224"/>
      <c r="T51" s="224"/>
      <c r="U51" s="224"/>
      <c r="V51" s="224"/>
      <c r="W51" s="224"/>
    </row>
    <row r="52" spans="1:23" ht="18.75" customHeight="1">
      <c r="A52" s="242" t="s">
        <v>38</v>
      </c>
      <c r="B52" s="225">
        <f>ROUND(C52+D52+E52*2.9+F52*$H$1,0)</f>
        <v>3365</v>
      </c>
      <c r="C52" s="343">
        <v>713</v>
      </c>
      <c r="D52" s="343">
        <v>0</v>
      </c>
      <c r="E52" s="438">
        <v>879</v>
      </c>
      <c r="F52" s="549">
        <f>'1.2. Диспансерное наблюдение'!F9</f>
        <v>103</v>
      </c>
      <c r="G52" s="224"/>
      <c r="H52" s="224"/>
      <c r="I52" s="224"/>
      <c r="J52" s="224"/>
      <c r="K52" s="224"/>
      <c r="P52" s="224"/>
      <c r="Q52" s="224"/>
      <c r="R52" s="224"/>
      <c r="S52" s="224"/>
      <c r="T52" s="224"/>
      <c r="U52" s="224"/>
      <c r="V52" s="224"/>
      <c r="W52" s="224"/>
    </row>
    <row r="53" spans="1:23" ht="17.25" customHeight="1">
      <c r="A53" s="234" t="s">
        <v>6</v>
      </c>
      <c r="B53" s="225">
        <f>ROUND(C53+D53+E53*2.9+F53*$H$1,0)</f>
        <v>20377</v>
      </c>
      <c r="C53" s="343">
        <v>3122</v>
      </c>
      <c r="D53" s="343">
        <v>0</v>
      </c>
      <c r="E53" s="438">
        <v>5069</v>
      </c>
      <c r="F53" s="548">
        <f>'1.2. Диспансерное наблюдение'!$F$14</f>
        <v>2555</v>
      </c>
      <c r="G53" s="224"/>
      <c r="H53" s="224"/>
      <c r="I53" s="224"/>
      <c r="J53" s="224"/>
      <c r="K53" s="224"/>
      <c r="P53" s="224"/>
      <c r="Q53" s="224"/>
      <c r="R53" s="224"/>
      <c r="S53" s="224"/>
      <c r="T53" s="224"/>
      <c r="U53" s="224"/>
      <c r="V53" s="224"/>
      <c r="W53" s="224"/>
    </row>
    <row r="54" spans="1:23" ht="20.25" customHeight="1" thickBot="1">
      <c r="A54" s="267" t="s">
        <v>0</v>
      </c>
      <c r="B54" s="269">
        <f>ROUND(C54+D54+E54*2.9+F54*$H$1,0)</f>
        <v>930</v>
      </c>
      <c r="C54" s="346">
        <v>231</v>
      </c>
      <c r="D54" s="347">
        <v>0</v>
      </c>
      <c r="E54" s="347">
        <v>241</v>
      </c>
      <c r="F54" s="348">
        <v>0</v>
      </c>
      <c r="G54" s="224"/>
      <c r="H54" s="224"/>
      <c r="I54" s="224"/>
      <c r="J54" s="224"/>
      <c r="K54" s="224"/>
      <c r="P54" s="224"/>
      <c r="Q54" s="224"/>
      <c r="R54" s="224"/>
      <c r="S54" s="224"/>
      <c r="T54" s="224"/>
      <c r="U54" s="224"/>
      <c r="V54" s="224"/>
      <c r="W54" s="224"/>
    </row>
    <row r="55" spans="1:23" ht="15.75" thickBot="1">
      <c r="A55" s="231" t="s">
        <v>202</v>
      </c>
      <c r="B55" s="354">
        <f>B54+B52+B53</f>
        <v>24672</v>
      </c>
      <c r="C55" s="354">
        <f>C54+C52+C53</f>
        <v>4066</v>
      </c>
      <c r="D55" s="354">
        <f>D54+D52+D53</f>
        <v>0</v>
      </c>
      <c r="E55" s="377">
        <f>E54+E52+E53</f>
        <v>6189</v>
      </c>
      <c r="F55" s="378">
        <f>F54+F52+F53</f>
        <v>2658</v>
      </c>
      <c r="G55" s="224"/>
      <c r="H55" s="224">
        <f>H56-C38-C28</f>
        <v>64582</v>
      </c>
      <c r="I55" s="224"/>
      <c r="J55" s="224"/>
      <c r="K55" s="224"/>
      <c r="P55" s="224"/>
      <c r="Q55" s="224"/>
      <c r="R55" s="224"/>
      <c r="S55" s="224"/>
      <c r="T55" s="224"/>
      <c r="U55" s="224"/>
      <c r="V55" s="224"/>
      <c r="W55" s="224"/>
    </row>
    <row r="56" spans="1:24" ht="15.75" thickBot="1">
      <c r="A56" s="231" t="s">
        <v>484</v>
      </c>
      <c r="B56" s="354">
        <f>B55+B48+B50</f>
        <v>402964</v>
      </c>
      <c r="C56" s="354">
        <f>C55+C48+C50</f>
        <v>87970</v>
      </c>
      <c r="D56" s="354">
        <f>D55+D48+D50</f>
        <v>14864</v>
      </c>
      <c r="E56" s="354">
        <f>E55+E48+E50</f>
        <v>98598</v>
      </c>
      <c r="F56" s="378">
        <f>F55+F48+F50</f>
        <v>14193</v>
      </c>
      <c r="G56" s="337">
        <v>402970</v>
      </c>
      <c r="H56" s="337">
        <v>87970</v>
      </c>
      <c r="I56" s="339">
        <v>14864</v>
      </c>
      <c r="J56" s="337">
        <v>98600</v>
      </c>
      <c r="K56" s="339">
        <v>14193</v>
      </c>
      <c r="L56" s="339"/>
      <c r="M56" s="339"/>
      <c r="N56" s="339"/>
      <c r="O56" s="339"/>
      <c r="P56" s="337"/>
      <c r="Q56" s="337"/>
      <c r="R56" s="337"/>
      <c r="S56" s="337"/>
      <c r="T56" s="337"/>
      <c r="U56" s="337"/>
      <c r="V56" s="337"/>
      <c r="W56" s="337"/>
      <c r="X56" s="339"/>
    </row>
    <row r="57" spans="1:11" ht="19.5" customHeight="1" hidden="1" thickBot="1">
      <c r="A57" s="688"/>
      <c r="B57" s="689"/>
      <c r="C57" s="689"/>
      <c r="D57" s="689"/>
      <c r="E57" s="690"/>
      <c r="F57" s="570"/>
      <c r="H57" s="337"/>
      <c r="I57" s="339"/>
      <c r="J57" s="339"/>
      <c r="K57" s="339"/>
    </row>
    <row r="58" spans="1:11" ht="19.5" customHeight="1" hidden="1">
      <c r="A58" s="271"/>
      <c r="B58" s="225"/>
      <c r="C58" s="297"/>
      <c r="D58" s="298"/>
      <c r="E58" s="299"/>
      <c r="F58" s="342"/>
      <c r="H58" s="339"/>
      <c r="I58" s="339"/>
      <c r="J58" s="339"/>
      <c r="K58" s="339"/>
    </row>
    <row r="59" spans="1:11" ht="16.5" customHeight="1" hidden="1">
      <c r="A59" s="234"/>
      <c r="B59" s="225"/>
      <c r="C59" s="297"/>
      <c r="D59" s="298"/>
      <c r="E59" s="299"/>
      <c r="F59" s="342"/>
      <c r="H59" s="339"/>
      <c r="I59" s="339"/>
      <c r="J59" s="339"/>
      <c r="K59" s="339"/>
    </row>
    <row r="60" spans="1:11" ht="16.5" customHeight="1" hidden="1" thickBot="1">
      <c r="A60" s="267"/>
      <c r="B60" s="269"/>
      <c r="C60" s="314"/>
      <c r="D60" s="309"/>
      <c r="E60" s="310"/>
      <c r="F60" s="348"/>
      <c r="H60" s="339"/>
      <c r="I60" s="339"/>
      <c r="J60" s="339"/>
      <c r="K60" s="339"/>
    </row>
    <row r="61" spans="1:11" ht="16.5" customHeight="1" hidden="1" thickBot="1">
      <c r="A61" s="231"/>
      <c r="B61" s="270"/>
      <c r="C61" s="311"/>
      <c r="D61" s="312"/>
      <c r="E61" s="313"/>
      <c r="F61" s="551"/>
      <c r="H61" s="339"/>
      <c r="I61" s="339"/>
      <c r="J61" s="339"/>
      <c r="K61" s="339"/>
    </row>
    <row r="62" spans="1:11" ht="32.25" customHeight="1" hidden="1">
      <c r="A62" s="271"/>
      <c r="B62" s="225"/>
      <c r="C62" s="297"/>
      <c r="D62" s="298"/>
      <c r="E62" s="299"/>
      <c r="F62" s="342"/>
      <c r="H62" s="339"/>
      <c r="I62" s="339"/>
      <c r="J62" s="339"/>
      <c r="K62" s="339"/>
    </row>
    <row r="63" spans="1:11" ht="16.5" customHeight="1" hidden="1">
      <c r="A63" s="234"/>
      <c r="B63" s="225"/>
      <c r="C63" s="300"/>
      <c r="D63" s="301"/>
      <c r="E63" s="302"/>
      <c r="F63" s="549"/>
      <c r="H63" s="339"/>
      <c r="I63" s="339"/>
      <c r="J63" s="339"/>
      <c r="K63" s="339"/>
    </row>
    <row r="64" spans="1:11" ht="16.5" customHeight="1" hidden="1">
      <c r="A64" s="247"/>
      <c r="B64" s="225"/>
      <c r="C64" s="297"/>
      <c r="D64" s="298"/>
      <c r="E64" s="299"/>
      <c r="F64" s="342"/>
      <c r="H64" s="339"/>
      <c r="I64" s="339"/>
      <c r="J64" s="339"/>
      <c r="K64" s="339"/>
    </row>
    <row r="65" spans="1:11" ht="16.5" customHeight="1" hidden="1" thickBot="1">
      <c r="A65" s="267"/>
      <c r="B65" s="269"/>
      <c r="C65" s="308"/>
      <c r="D65" s="309"/>
      <c r="E65" s="310"/>
      <c r="F65" s="348"/>
      <c r="H65" s="339"/>
      <c r="I65" s="339"/>
      <c r="J65" s="339"/>
      <c r="K65" s="339"/>
    </row>
    <row r="66" spans="1:11" ht="16.5" customHeight="1" hidden="1" thickBot="1">
      <c r="A66" s="231"/>
      <c r="B66" s="270"/>
      <c r="C66" s="311"/>
      <c r="D66" s="312"/>
      <c r="E66" s="313"/>
      <c r="F66" s="551"/>
      <c r="H66" s="339"/>
      <c r="I66" s="339"/>
      <c r="J66" s="339"/>
      <c r="K66" s="339"/>
    </row>
    <row r="67" spans="1:11" ht="17.25" customHeight="1" hidden="1" thickBot="1">
      <c r="A67" s="231"/>
      <c r="B67" s="232"/>
      <c r="C67" s="306"/>
      <c r="D67" s="306"/>
      <c r="E67" s="307"/>
      <c r="F67" s="552"/>
      <c r="H67" s="339"/>
      <c r="I67" s="339"/>
      <c r="J67" s="339"/>
      <c r="K67" s="339"/>
    </row>
    <row r="68" spans="1:11" ht="30.75" customHeight="1" hidden="1" thickBot="1">
      <c r="A68" s="688"/>
      <c r="B68" s="689"/>
      <c r="C68" s="689"/>
      <c r="D68" s="689"/>
      <c r="E68" s="690"/>
      <c r="F68" s="571"/>
      <c r="H68" s="339"/>
      <c r="I68" s="339"/>
      <c r="J68" s="339"/>
      <c r="K68" s="339"/>
    </row>
    <row r="69" spans="1:11" ht="15.75" hidden="1" thickBot="1">
      <c r="A69" s="227"/>
      <c r="B69" s="225"/>
      <c r="C69" s="297"/>
      <c r="D69" s="298"/>
      <c r="E69" s="299"/>
      <c r="F69" s="342"/>
      <c r="H69" s="339"/>
      <c r="I69" s="339"/>
      <c r="J69" s="339"/>
      <c r="K69" s="339"/>
    </row>
    <row r="70" spans="1:11" ht="22.5" customHeight="1" hidden="1" thickBot="1">
      <c r="A70" s="228"/>
      <c r="B70" s="225"/>
      <c r="C70" s="300"/>
      <c r="D70" s="298"/>
      <c r="E70" s="299"/>
      <c r="F70" s="342"/>
      <c r="H70" s="339"/>
      <c r="I70" s="339"/>
      <c r="J70" s="339"/>
      <c r="K70" s="339"/>
    </row>
    <row r="71" spans="1:11" ht="15.75" hidden="1" thickBot="1">
      <c r="A71" s="231"/>
      <c r="B71" s="232"/>
      <c r="C71" s="306"/>
      <c r="D71" s="306"/>
      <c r="E71" s="307"/>
      <c r="F71" s="552"/>
      <c r="H71" s="339"/>
      <c r="I71" s="339"/>
      <c r="J71" s="339"/>
      <c r="K71" s="339"/>
    </row>
    <row r="72" spans="1:11" ht="20.25" customHeight="1">
      <c r="A72" s="691" t="s">
        <v>500</v>
      </c>
      <c r="B72" s="692"/>
      <c r="C72" s="692"/>
      <c r="D72" s="692"/>
      <c r="E72" s="692"/>
      <c r="F72" s="693"/>
      <c r="G72" s="337">
        <f>G56-B56</f>
        <v>6</v>
      </c>
      <c r="H72" s="337">
        <f>H56-C56</f>
        <v>0</v>
      </c>
      <c r="I72" s="337">
        <f>I56-D56</f>
        <v>0</v>
      </c>
      <c r="J72" s="337">
        <f>J56-E56</f>
        <v>2</v>
      </c>
      <c r="K72" s="337">
        <f>K56-F56</f>
        <v>0</v>
      </c>
    </row>
    <row r="73" spans="1:8" ht="20.25" customHeight="1">
      <c r="A73" s="239" t="s">
        <v>77</v>
      </c>
      <c r="B73" s="225">
        <f aca="true" t="shared" si="1" ref="B73:B98">ROUND(C73+D73+E73*2.9+F73*$H$1,0)</f>
        <v>436</v>
      </c>
      <c r="C73" s="344">
        <v>394</v>
      </c>
      <c r="D73" s="345">
        <v>1</v>
      </c>
      <c r="E73" s="345">
        <v>14</v>
      </c>
      <c r="F73" s="544">
        <v>0</v>
      </c>
      <c r="H73" s="602"/>
    </row>
    <row r="74" spans="1:8" ht="20.25" customHeight="1">
      <c r="A74" s="239" t="s">
        <v>9</v>
      </c>
      <c r="B74" s="225">
        <f>ROUND(C74+D74+E74*2.9+F74*$H$1,0)</f>
        <v>139</v>
      </c>
      <c r="C74" s="344">
        <v>139</v>
      </c>
      <c r="D74" s="345">
        <v>0</v>
      </c>
      <c r="E74" s="345">
        <v>0</v>
      </c>
      <c r="F74" s="544">
        <v>0</v>
      </c>
      <c r="H74" s="602"/>
    </row>
    <row r="75" spans="1:23" ht="15">
      <c r="A75" s="235" t="s">
        <v>72</v>
      </c>
      <c r="B75" s="236">
        <f t="shared" si="1"/>
        <v>168</v>
      </c>
      <c r="C75" s="355">
        <v>165</v>
      </c>
      <c r="D75" s="345">
        <v>0</v>
      </c>
      <c r="E75" s="345">
        <v>1</v>
      </c>
      <c r="F75" s="544">
        <v>0</v>
      </c>
      <c r="G75" s="224"/>
      <c r="H75" s="602"/>
      <c r="I75" s="224"/>
      <c r="J75" s="224"/>
      <c r="K75" s="224"/>
      <c r="P75" s="338"/>
      <c r="Q75" s="338"/>
      <c r="R75" s="338"/>
      <c r="S75" s="338"/>
      <c r="T75" s="338"/>
      <c r="U75" s="338"/>
      <c r="V75" s="338"/>
      <c r="W75" s="338"/>
    </row>
    <row r="76" spans="1:23" ht="15">
      <c r="A76" s="239" t="s">
        <v>423</v>
      </c>
      <c r="B76" s="225">
        <f t="shared" si="1"/>
        <v>45</v>
      </c>
      <c r="C76" s="344">
        <v>42</v>
      </c>
      <c r="D76" s="345">
        <v>0</v>
      </c>
      <c r="E76" s="345">
        <v>1</v>
      </c>
      <c r="F76" s="544">
        <v>0</v>
      </c>
      <c r="H76" s="602"/>
      <c r="P76" s="338"/>
      <c r="Q76" s="338"/>
      <c r="R76" s="338"/>
      <c r="S76" s="338"/>
      <c r="T76" s="338"/>
      <c r="U76" s="338"/>
      <c r="V76" s="338"/>
      <c r="W76" s="338"/>
    </row>
    <row r="77" spans="1:23" ht="15">
      <c r="A77" s="239" t="s">
        <v>227</v>
      </c>
      <c r="B77" s="225">
        <f t="shared" si="1"/>
        <v>501</v>
      </c>
      <c r="C77" s="344">
        <v>412</v>
      </c>
      <c r="D77" s="345">
        <v>5</v>
      </c>
      <c r="E77" s="345">
        <v>29</v>
      </c>
      <c r="F77" s="544">
        <v>0</v>
      </c>
      <c r="H77" s="602"/>
      <c r="P77" s="338"/>
      <c r="Q77" s="338"/>
      <c r="R77" s="338"/>
      <c r="S77" s="338"/>
      <c r="T77" s="338"/>
      <c r="U77" s="338"/>
      <c r="V77" s="338"/>
      <c r="W77" s="338"/>
    </row>
    <row r="78" spans="1:23" ht="30">
      <c r="A78" s="241" t="s">
        <v>493</v>
      </c>
      <c r="B78" s="225">
        <f>ROUND(C78+D78+E78*2.9+F78*$H$1,0)</f>
        <v>0</v>
      </c>
      <c r="C78" s="344">
        <v>0</v>
      </c>
      <c r="D78" s="589">
        <v>0</v>
      </c>
      <c r="E78" s="589">
        <v>0</v>
      </c>
      <c r="F78" s="544">
        <v>0</v>
      </c>
      <c r="H78" s="602"/>
      <c r="P78" s="338"/>
      <c r="Q78" s="338"/>
      <c r="R78" s="338"/>
      <c r="S78" s="338"/>
      <c r="T78" s="338"/>
      <c r="U78" s="338"/>
      <c r="V78" s="338"/>
      <c r="W78" s="338"/>
    </row>
    <row r="79" spans="1:23" ht="15">
      <c r="A79" s="239" t="s">
        <v>34</v>
      </c>
      <c r="B79" s="225">
        <f t="shared" si="1"/>
        <v>3852</v>
      </c>
      <c r="C79" s="344">
        <v>1874</v>
      </c>
      <c r="D79" s="345">
        <v>1775</v>
      </c>
      <c r="E79" s="345">
        <v>70</v>
      </c>
      <c r="F79" s="544">
        <v>0</v>
      </c>
      <c r="H79" s="602"/>
      <c r="P79" s="338"/>
      <c r="Q79" s="338"/>
      <c r="R79" s="338"/>
      <c r="S79" s="338"/>
      <c r="T79" s="338"/>
      <c r="U79" s="338"/>
      <c r="V79" s="338"/>
      <c r="W79" s="338"/>
    </row>
    <row r="80" spans="1:23" ht="30">
      <c r="A80" s="241" t="s">
        <v>493</v>
      </c>
      <c r="B80" s="225">
        <f t="shared" si="1"/>
        <v>0</v>
      </c>
      <c r="C80" s="344">
        <v>0</v>
      </c>
      <c r="D80" s="589">
        <v>0</v>
      </c>
      <c r="E80" s="589">
        <v>0</v>
      </c>
      <c r="F80" s="544">
        <v>0</v>
      </c>
      <c r="H80" s="602"/>
      <c r="P80" s="338"/>
      <c r="Q80" s="338"/>
      <c r="R80" s="338"/>
      <c r="S80" s="338"/>
      <c r="T80" s="338"/>
      <c r="U80" s="338"/>
      <c r="V80" s="338"/>
      <c r="W80" s="338"/>
    </row>
    <row r="81" spans="1:23" ht="15">
      <c r="A81" s="239" t="s">
        <v>486</v>
      </c>
      <c r="B81" s="225">
        <f t="shared" si="1"/>
        <v>641</v>
      </c>
      <c r="C81" s="344">
        <v>502</v>
      </c>
      <c r="D81" s="345">
        <v>0</v>
      </c>
      <c r="E81" s="345">
        <v>48</v>
      </c>
      <c r="F81" s="544">
        <v>0</v>
      </c>
      <c r="H81" s="602"/>
      <c r="P81" s="338"/>
      <c r="Q81" s="338"/>
      <c r="R81" s="338"/>
      <c r="S81" s="338"/>
      <c r="T81" s="338"/>
      <c r="U81" s="338"/>
      <c r="V81" s="338"/>
      <c r="W81" s="338"/>
    </row>
    <row r="82" spans="1:23" s="237" customFormat="1" ht="30">
      <c r="A82" s="525" t="s">
        <v>487</v>
      </c>
      <c r="B82" s="263">
        <f>ROUND(C82*10+D82+E82*2.9+F82*$H$1,0)</f>
        <v>0</v>
      </c>
      <c r="C82" s="349">
        <v>0</v>
      </c>
      <c r="D82" s="589">
        <v>0</v>
      </c>
      <c r="E82" s="518">
        <v>0</v>
      </c>
      <c r="F82" s="544">
        <v>0</v>
      </c>
      <c r="H82" s="602"/>
      <c r="P82" s="461"/>
      <c r="Q82" s="461"/>
      <c r="R82" s="461"/>
      <c r="S82" s="461"/>
      <c r="T82" s="461"/>
      <c r="U82" s="461"/>
      <c r="V82" s="461"/>
      <c r="W82" s="461"/>
    </row>
    <row r="83" spans="1:23" s="237" customFormat="1" ht="30">
      <c r="A83" s="241" t="s">
        <v>493</v>
      </c>
      <c r="B83" s="225">
        <f>ROUND(C83+D83+E83*2.9+F83*$H$1,0)</f>
        <v>0</v>
      </c>
      <c r="C83" s="344">
        <v>0</v>
      </c>
      <c r="D83" s="589">
        <v>0</v>
      </c>
      <c r="E83" s="566">
        <v>0</v>
      </c>
      <c r="F83" s="545">
        <v>0</v>
      </c>
      <c r="H83" s="602"/>
      <c r="P83" s="461"/>
      <c r="Q83" s="461"/>
      <c r="R83" s="461"/>
      <c r="S83" s="461"/>
      <c r="T83" s="461"/>
      <c r="U83" s="461"/>
      <c r="V83" s="461"/>
      <c r="W83" s="461"/>
    </row>
    <row r="84" spans="1:23" ht="15">
      <c r="A84" s="240" t="s">
        <v>78</v>
      </c>
      <c r="B84" s="225">
        <f t="shared" si="1"/>
        <v>599</v>
      </c>
      <c r="C84" s="344">
        <v>150</v>
      </c>
      <c r="D84" s="345">
        <v>446</v>
      </c>
      <c r="E84" s="345">
        <v>1</v>
      </c>
      <c r="F84" s="544">
        <v>0</v>
      </c>
      <c r="H84" s="602"/>
      <c r="P84" s="338"/>
      <c r="Q84" s="338"/>
      <c r="R84" s="338"/>
      <c r="S84" s="338"/>
      <c r="T84" s="338"/>
      <c r="U84" s="338"/>
      <c r="V84" s="338"/>
      <c r="W84" s="338"/>
    </row>
    <row r="85" spans="1:23" ht="15">
      <c r="A85" s="239" t="s">
        <v>3</v>
      </c>
      <c r="B85" s="225">
        <f t="shared" si="1"/>
        <v>1800</v>
      </c>
      <c r="C85" s="344">
        <v>1768</v>
      </c>
      <c r="D85" s="345">
        <v>0</v>
      </c>
      <c r="E85" s="345">
        <v>11</v>
      </c>
      <c r="F85" s="544">
        <v>0</v>
      </c>
      <c r="H85" s="602"/>
      <c r="P85" s="338"/>
      <c r="Q85" s="338"/>
      <c r="R85" s="338"/>
      <c r="S85" s="338"/>
      <c r="T85" s="338"/>
      <c r="U85" s="338"/>
      <c r="V85" s="338"/>
      <c r="W85" s="338"/>
    </row>
    <row r="86" spans="1:23" ht="15">
      <c r="A86" s="239" t="s">
        <v>8</v>
      </c>
      <c r="B86" s="225">
        <f t="shared" si="1"/>
        <v>182</v>
      </c>
      <c r="C86" s="344">
        <v>130</v>
      </c>
      <c r="D86" s="345">
        <v>0</v>
      </c>
      <c r="E86" s="345">
        <v>18</v>
      </c>
      <c r="F86" s="544">
        <v>0</v>
      </c>
      <c r="H86" s="602"/>
      <c r="P86" s="338"/>
      <c r="Q86" s="338"/>
      <c r="R86" s="338"/>
      <c r="S86" s="338"/>
      <c r="T86" s="338"/>
      <c r="U86" s="338"/>
      <c r="V86" s="338"/>
      <c r="W86" s="338"/>
    </row>
    <row r="87" spans="1:23" ht="15">
      <c r="A87" s="241" t="s">
        <v>76</v>
      </c>
      <c r="B87" s="225">
        <f t="shared" si="1"/>
        <v>1745</v>
      </c>
      <c r="C87" s="344">
        <v>1368</v>
      </c>
      <c r="D87" s="345">
        <v>122</v>
      </c>
      <c r="E87" s="345">
        <v>88</v>
      </c>
      <c r="F87" s="544">
        <v>0</v>
      </c>
      <c r="H87" s="602"/>
      <c r="P87" s="338"/>
      <c r="Q87" s="338"/>
      <c r="R87" s="338"/>
      <c r="S87" s="338"/>
      <c r="T87" s="338"/>
      <c r="U87" s="338"/>
      <c r="V87" s="338"/>
      <c r="W87" s="338"/>
    </row>
    <row r="88" spans="1:23" ht="30">
      <c r="A88" s="241" t="s">
        <v>493</v>
      </c>
      <c r="B88" s="225">
        <f>ROUND(C88+D88+E88*2.9+F88*$H$1,0)</f>
        <v>0</v>
      </c>
      <c r="C88" s="344">
        <v>0</v>
      </c>
      <c r="D88" s="589">
        <v>0</v>
      </c>
      <c r="E88" s="566">
        <v>0</v>
      </c>
      <c r="F88" s="545">
        <v>0</v>
      </c>
      <c r="H88" s="602"/>
      <c r="P88" s="338"/>
      <c r="Q88" s="338"/>
      <c r="R88" s="338"/>
      <c r="S88" s="338"/>
      <c r="T88" s="338"/>
      <c r="U88" s="338"/>
      <c r="V88" s="338"/>
      <c r="W88" s="338"/>
    </row>
    <row r="89" spans="1:23" ht="15">
      <c r="A89" s="239" t="s">
        <v>2</v>
      </c>
      <c r="B89" s="225">
        <f t="shared" si="1"/>
        <v>1956</v>
      </c>
      <c r="C89" s="344">
        <v>1811</v>
      </c>
      <c r="D89" s="345">
        <v>0</v>
      </c>
      <c r="E89" s="345">
        <v>50</v>
      </c>
      <c r="F89" s="544">
        <v>0</v>
      </c>
      <c r="H89" s="602"/>
      <c r="P89" s="338"/>
      <c r="Q89" s="338"/>
      <c r="R89" s="338"/>
      <c r="S89" s="338"/>
      <c r="T89" s="338"/>
      <c r="U89" s="338"/>
      <c r="V89" s="338"/>
      <c r="W89" s="338"/>
    </row>
    <row r="90" spans="1:23" ht="30">
      <c r="A90" s="241" t="s">
        <v>493</v>
      </c>
      <c r="B90" s="225">
        <f>ROUND(C90+D90+E90*2.9+F90*$H$1,0)</f>
        <v>0</v>
      </c>
      <c r="C90" s="344">
        <v>0</v>
      </c>
      <c r="D90" s="589">
        <v>0</v>
      </c>
      <c r="E90" s="589">
        <v>0</v>
      </c>
      <c r="F90" s="544">
        <v>0</v>
      </c>
      <c r="H90" s="602"/>
      <c r="P90" s="338"/>
      <c r="Q90" s="338"/>
      <c r="R90" s="338"/>
      <c r="S90" s="338"/>
      <c r="T90" s="338"/>
      <c r="U90" s="338"/>
      <c r="V90" s="338"/>
      <c r="W90" s="338"/>
    </row>
    <row r="91" spans="1:23" ht="15">
      <c r="A91" s="235" t="s">
        <v>367</v>
      </c>
      <c r="B91" s="236">
        <f t="shared" si="1"/>
        <v>69565</v>
      </c>
      <c r="C91" s="344">
        <f>42328+C92</f>
        <v>52860</v>
      </c>
      <c r="D91" s="345">
        <v>4020</v>
      </c>
      <c r="E91" s="345">
        <v>4374</v>
      </c>
      <c r="F91" s="544">
        <v>0</v>
      </c>
      <c r="H91" s="602"/>
      <c r="J91" s="339"/>
      <c r="K91" s="224"/>
      <c r="N91" s="224"/>
      <c r="P91" s="338"/>
      <c r="Q91" s="338"/>
      <c r="R91" s="338"/>
      <c r="S91" s="338"/>
      <c r="T91" s="338"/>
      <c r="U91" s="338"/>
      <c r="V91" s="338"/>
      <c r="W91" s="338"/>
    </row>
    <row r="92" spans="1:23" s="257" customFormat="1" ht="30.75" customHeight="1">
      <c r="A92" s="255" t="s">
        <v>393</v>
      </c>
      <c r="B92" s="256">
        <f t="shared" si="1"/>
        <v>10532</v>
      </c>
      <c r="C92" s="604">
        <f>C93+C94+C95</f>
        <v>10532</v>
      </c>
      <c r="D92" s="589">
        <v>0</v>
      </c>
      <c r="E92" s="589">
        <v>0</v>
      </c>
      <c r="F92" s="544">
        <v>0</v>
      </c>
      <c r="G92" s="223"/>
      <c r="H92" s="602"/>
      <c r="I92" s="258"/>
      <c r="J92" s="258"/>
      <c r="K92" s="258"/>
      <c r="N92" s="258"/>
      <c r="P92" s="338"/>
      <c r="Q92" s="338"/>
      <c r="R92" s="338"/>
      <c r="S92" s="338"/>
      <c r="T92" s="338"/>
      <c r="U92" s="338"/>
      <c r="V92" s="338"/>
      <c r="W92" s="338"/>
    </row>
    <row r="93" spans="1:23" s="257" customFormat="1" ht="29.25" customHeight="1">
      <c r="A93" s="525" t="s">
        <v>145</v>
      </c>
      <c r="B93" s="256">
        <f t="shared" si="1"/>
        <v>106</v>
      </c>
      <c r="C93" s="604">
        <v>106</v>
      </c>
      <c r="D93" s="589">
        <v>0</v>
      </c>
      <c r="E93" s="589">
        <v>0</v>
      </c>
      <c r="F93" s="544">
        <v>0</v>
      </c>
      <c r="G93" s="223"/>
      <c r="H93" s="602"/>
      <c r="I93" s="258"/>
      <c r="J93" s="258"/>
      <c r="K93" s="258"/>
      <c r="N93" s="258"/>
      <c r="P93" s="338"/>
      <c r="Q93" s="338"/>
      <c r="R93" s="338"/>
      <c r="S93" s="338"/>
      <c r="T93" s="338"/>
      <c r="U93" s="338"/>
      <c r="V93" s="338"/>
      <c r="W93" s="338"/>
    </row>
    <row r="94" spans="1:23" s="257" customFormat="1" ht="31.5" customHeight="1">
      <c r="A94" s="525" t="s">
        <v>146</v>
      </c>
      <c r="B94" s="256">
        <f t="shared" si="1"/>
        <v>62</v>
      </c>
      <c r="C94" s="604">
        <v>62</v>
      </c>
      <c r="D94" s="589">
        <v>0</v>
      </c>
      <c r="E94" s="589">
        <v>0</v>
      </c>
      <c r="F94" s="544">
        <v>0</v>
      </c>
      <c r="G94" s="223"/>
      <c r="H94" s="602"/>
      <c r="I94" s="258"/>
      <c r="J94" s="258"/>
      <c r="K94" s="258"/>
      <c r="N94" s="258"/>
      <c r="P94" s="338"/>
      <c r="Q94" s="338"/>
      <c r="R94" s="338"/>
      <c r="S94" s="338"/>
      <c r="T94" s="338"/>
      <c r="U94" s="338"/>
      <c r="V94" s="338"/>
      <c r="W94" s="338"/>
    </row>
    <row r="95" spans="1:23" s="237" customFormat="1" ht="24.75" customHeight="1">
      <c r="A95" s="525" t="s">
        <v>147</v>
      </c>
      <c r="B95" s="256">
        <f t="shared" si="1"/>
        <v>10364</v>
      </c>
      <c r="C95" s="604">
        <v>10364</v>
      </c>
      <c r="D95" s="589">
        <v>0</v>
      </c>
      <c r="E95" s="589">
        <v>0</v>
      </c>
      <c r="F95" s="544">
        <v>0</v>
      </c>
      <c r="G95" s="223"/>
      <c r="H95" s="602"/>
      <c r="I95" s="238"/>
      <c r="J95" s="238"/>
      <c r="K95" s="238"/>
      <c r="N95" s="238"/>
      <c r="P95" s="338"/>
      <c r="Q95" s="338"/>
      <c r="R95" s="338"/>
      <c r="S95" s="338"/>
      <c r="T95" s="338"/>
      <c r="U95" s="338"/>
      <c r="V95" s="338"/>
      <c r="W95" s="338"/>
    </row>
    <row r="96" spans="1:23" ht="15" customHeight="1">
      <c r="A96" s="239" t="s">
        <v>422</v>
      </c>
      <c r="B96" s="225">
        <f t="shared" si="1"/>
        <v>2521</v>
      </c>
      <c r="C96" s="344">
        <v>1937</v>
      </c>
      <c r="D96" s="345">
        <v>436</v>
      </c>
      <c r="E96" s="345">
        <v>51</v>
      </c>
      <c r="F96" s="544">
        <v>0</v>
      </c>
      <c r="H96" s="602"/>
      <c r="J96" s="339"/>
      <c r="P96" s="338"/>
      <c r="Q96" s="338"/>
      <c r="R96" s="338"/>
      <c r="S96" s="338"/>
      <c r="T96" s="338"/>
      <c r="U96" s="338"/>
      <c r="V96" s="338"/>
      <c r="W96" s="338"/>
    </row>
    <row r="97" spans="1:23" ht="30" customHeight="1">
      <c r="A97" s="241" t="s">
        <v>493</v>
      </c>
      <c r="B97" s="225">
        <f>ROUND(C97+D97+E97*2.9+F97*$H$1,0)</f>
        <v>0</v>
      </c>
      <c r="C97" s="344"/>
      <c r="D97" s="589">
        <v>0</v>
      </c>
      <c r="E97" s="589">
        <v>0</v>
      </c>
      <c r="F97" s="544">
        <v>0</v>
      </c>
      <c r="H97" s="602"/>
      <c r="J97" s="339"/>
      <c r="P97" s="338"/>
      <c r="Q97" s="338"/>
      <c r="R97" s="338"/>
      <c r="S97" s="338"/>
      <c r="T97" s="338"/>
      <c r="U97" s="338"/>
      <c r="V97" s="338"/>
      <c r="W97" s="338"/>
    </row>
    <row r="98" spans="1:23" ht="30.75" thickBot="1">
      <c r="A98" s="241" t="s">
        <v>503</v>
      </c>
      <c r="B98" s="225">
        <f t="shared" si="1"/>
        <v>7294</v>
      </c>
      <c r="C98" s="344">
        <v>7059</v>
      </c>
      <c r="D98" s="345">
        <v>0</v>
      </c>
      <c r="E98" s="345">
        <v>81</v>
      </c>
      <c r="F98" s="544">
        <v>0</v>
      </c>
      <c r="G98" s="224"/>
      <c r="H98" s="602"/>
      <c r="I98" s="224"/>
      <c r="P98" s="338"/>
      <c r="Q98" s="338"/>
      <c r="R98" s="338"/>
      <c r="S98" s="338"/>
      <c r="T98" s="338"/>
      <c r="U98" s="338"/>
      <c r="V98" s="338"/>
      <c r="W98" s="338"/>
    </row>
    <row r="99" spans="1:23" ht="17.25" customHeight="1">
      <c r="A99" s="567" t="s">
        <v>483</v>
      </c>
      <c r="B99" s="568">
        <f>SUM(B73:B77,B79,B81,B84:B87,B89,B91,B96,B98)</f>
        <v>91444</v>
      </c>
      <c r="C99" s="568">
        <f>SUM(C73:C77,C79,C81,C84:C87,C89,C91,C96,C98)</f>
        <v>70611</v>
      </c>
      <c r="D99" s="568">
        <f>SUM(D73:D77,D79,D81,D84:D87,D89,D91,D96,D98)</f>
        <v>6805</v>
      </c>
      <c r="E99" s="568">
        <f>SUM(E73:E77,E79,E81,E84:E87,E89,E91,E96,E98)</f>
        <v>4837</v>
      </c>
      <c r="F99" s="572">
        <f>SUM(F73:F77,F79,F81,F84:F87,F89,F91,F96,F98)</f>
        <v>0</v>
      </c>
      <c r="G99" s="337"/>
      <c r="H99" s="337">
        <f>60079+10532</f>
        <v>70611</v>
      </c>
      <c r="I99" s="339">
        <v>6805</v>
      </c>
      <c r="J99" s="337">
        <v>4837</v>
      </c>
      <c r="K99" s="339">
        <v>0</v>
      </c>
      <c r="L99" s="224"/>
      <c r="M99" s="224"/>
      <c r="P99" s="224"/>
      <c r="Q99" s="337"/>
      <c r="R99" s="337"/>
      <c r="S99" s="337"/>
      <c r="T99" s="337"/>
      <c r="U99" s="337"/>
      <c r="V99" s="337"/>
      <c r="W99" s="337"/>
    </row>
    <row r="100" spans="1:23" ht="29.25" customHeight="1" thickBot="1">
      <c r="A100" s="590" t="s">
        <v>493</v>
      </c>
      <c r="B100" s="236">
        <f>ROUND(C100+D100+E100*2.9+F100*$H$1,0)</f>
        <v>0</v>
      </c>
      <c r="C100" s="355">
        <f>C97+C90+C88+C83+C80+C78</f>
        <v>0</v>
      </c>
      <c r="D100" s="591">
        <v>0</v>
      </c>
      <c r="E100" s="591">
        <v>0</v>
      </c>
      <c r="F100" s="561">
        <v>0</v>
      </c>
      <c r="G100" s="337"/>
      <c r="H100" s="337">
        <f>H99-C99</f>
        <v>0</v>
      </c>
      <c r="I100" s="337">
        <f>I99-D99</f>
        <v>0</v>
      </c>
      <c r="J100" s="337">
        <f>J99-E99</f>
        <v>0</v>
      </c>
      <c r="K100" s="337">
        <f>K99-F99</f>
        <v>0</v>
      </c>
      <c r="L100" s="224"/>
      <c r="M100" s="224"/>
      <c r="P100" s="224"/>
      <c r="Q100" s="337"/>
      <c r="R100" s="337"/>
      <c r="S100" s="337"/>
      <c r="T100" s="337"/>
      <c r="U100" s="337"/>
      <c r="V100" s="337"/>
      <c r="W100" s="337"/>
    </row>
    <row r="101" spans="1:11" ht="25.5" customHeight="1">
      <c r="A101" s="691" t="s">
        <v>499</v>
      </c>
      <c r="B101" s="692"/>
      <c r="C101" s="692"/>
      <c r="D101" s="692"/>
      <c r="E101" s="692"/>
      <c r="F101" s="693"/>
      <c r="G101" s="337"/>
      <c r="H101" s="337"/>
      <c r="I101" s="337"/>
      <c r="J101" s="337"/>
      <c r="K101" s="337"/>
    </row>
    <row r="102" spans="1:17" ht="15.75" customHeight="1">
      <c r="A102" s="234" t="s">
        <v>38</v>
      </c>
      <c r="B102" s="236">
        <f aca="true" t="shared" si="2" ref="B102:B107">ROUND(C102+D102+E102*2.9+F102*$H$1,0)</f>
        <v>33345</v>
      </c>
      <c r="C102" s="340">
        <f>20112-2900</f>
        <v>17212</v>
      </c>
      <c r="D102" s="341">
        <v>1140</v>
      </c>
      <c r="E102" s="341">
        <f>3711+1000</f>
        <v>4711</v>
      </c>
      <c r="F102" s="548">
        <f>1331</f>
        <v>1331</v>
      </c>
      <c r="H102" s="602"/>
      <c r="I102" s="224"/>
      <c r="J102" s="224"/>
      <c r="K102" s="224"/>
      <c r="O102" s="224"/>
      <c r="Q102" s="224"/>
    </row>
    <row r="103" spans="1:11" ht="15.75" customHeight="1">
      <c r="A103" s="242" t="s">
        <v>108</v>
      </c>
      <c r="B103" s="225">
        <f t="shared" si="2"/>
        <v>2470</v>
      </c>
      <c r="C103" s="343">
        <v>888</v>
      </c>
      <c r="D103" s="341">
        <v>10</v>
      </c>
      <c r="E103" s="341">
        <v>542</v>
      </c>
      <c r="F103" s="342"/>
      <c r="H103" s="602"/>
      <c r="I103" s="224"/>
      <c r="J103" s="224"/>
      <c r="K103" s="224"/>
    </row>
    <row r="104" spans="1:11" ht="21" customHeight="1">
      <c r="A104" s="242" t="s">
        <v>506</v>
      </c>
      <c r="B104" s="225">
        <f t="shared" si="2"/>
        <v>1482</v>
      </c>
      <c r="C104" s="343">
        <v>1482</v>
      </c>
      <c r="D104" s="341">
        <v>0</v>
      </c>
      <c r="E104" s="341">
        <v>0</v>
      </c>
      <c r="F104" s="342"/>
      <c r="H104" s="602"/>
      <c r="I104" s="224"/>
      <c r="J104" s="224"/>
      <c r="K104" s="224"/>
    </row>
    <row r="105" spans="1:11" ht="36.75" customHeight="1">
      <c r="A105" s="242" t="s">
        <v>505</v>
      </c>
      <c r="B105" s="225">
        <f t="shared" si="2"/>
        <v>902</v>
      </c>
      <c r="C105" s="343">
        <v>864</v>
      </c>
      <c r="D105" s="341">
        <v>0</v>
      </c>
      <c r="E105" s="341">
        <v>13</v>
      </c>
      <c r="F105" s="342"/>
      <c r="H105" s="602"/>
      <c r="I105" s="224"/>
      <c r="J105" s="224"/>
      <c r="K105" s="224"/>
    </row>
    <row r="106" spans="1:11" ht="27" customHeight="1">
      <c r="A106" s="242" t="s">
        <v>504</v>
      </c>
      <c r="B106" s="225">
        <f t="shared" si="2"/>
        <v>1000</v>
      </c>
      <c r="C106" s="344">
        <v>1000</v>
      </c>
      <c r="D106" s="438"/>
      <c r="E106" s="438"/>
      <c r="F106" s="549"/>
      <c r="H106" s="602"/>
      <c r="I106" s="224"/>
      <c r="J106" s="224"/>
      <c r="K106" s="224"/>
    </row>
    <row r="107" spans="1:11" ht="27" customHeight="1">
      <c r="A107" s="235" t="s">
        <v>77</v>
      </c>
      <c r="B107" s="236">
        <f t="shared" si="2"/>
        <v>1266</v>
      </c>
      <c r="C107" s="355">
        <v>387</v>
      </c>
      <c r="D107" s="355">
        <v>0</v>
      </c>
      <c r="E107" s="355">
        <v>303</v>
      </c>
      <c r="F107" s="561">
        <v>0</v>
      </c>
      <c r="G107" s="224"/>
      <c r="H107" s="602"/>
      <c r="I107" s="224"/>
      <c r="J107" s="224"/>
      <c r="K107" s="224"/>
    </row>
    <row r="108" spans="1:11" ht="27" customHeight="1">
      <c r="A108" s="239" t="s">
        <v>9</v>
      </c>
      <c r="B108" s="225">
        <f>ROUND(C108+D108+E108*2.9+F108*$H$1,0)-1</f>
        <v>373</v>
      </c>
      <c r="C108" s="355">
        <v>40</v>
      </c>
      <c r="D108" s="355">
        <v>0</v>
      </c>
      <c r="E108" s="355">
        <v>115</v>
      </c>
      <c r="F108" s="544">
        <v>0</v>
      </c>
      <c r="G108" s="224"/>
      <c r="H108" s="602"/>
      <c r="I108" s="224"/>
      <c r="J108" s="224"/>
      <c r="K108" s="224"/>
    </row>
    <row r="109" spans="1:11" ht="27" customHeight="1">
      <c r="A109" s="235" t="s">
        <v>72</v>
      </c>
      <c r="B109" s="225">
        <f>ROUND(C109+D109+E109*2.9+F109*$H$1,0)-1</f>
        <v>1314</v>
      </c>
      <c r="C109" s="355">
        <v>517</v>
      </c>
      <c r="D109" s="355">
        <v>0</v>
      </c>
      <c r="E109" s="355">
        <v>275</v>
      </c>
      <c r="F109" s="544">
        <v>0</v>
      </c>
      <c r="G109" s="224"/>
      <c r="H109" s="602"/>
      <c r="I109" s="224"/>
      <c r="J109" s="224"/>
      <c r="K109" s="224"/>
    </row>
    <row r="110" spans="1:11" ht="27" customHeight="1">
      <c r="A110" s="239" t="s">
        <v>423</v>
      </c>
      <c r="B110" s="225">
        <f>ROUND(C110+D110+E110*2.9+F110*$H$1,0)</f>
        <v>1264</v>
      </c>
      <c r="C110" s="355">
        <v>420</v>
      </c>
      <c r="D110" s="355">
        <v>0</v>
      </c>
      <c r="E110" s="355">
        <v>291</v>
      </c>
      <c r="F110" s="544">
        <v>0</v>
      </c>
      <c r="G110" s="224"/>
      <c r="H110" s="602"/>
      <c r="I110" s="224"/>
      <c r="J110" s="224"/>
      <c r="K110" s="224"/>
    </row>
    <row r="111" spans="1:11" ht="27" customHeight="1">
      <c r="A111" s="239" t="s">
        <v>227</v>
      </c>
      <c r="B111" s="225">
        <f>ROUND(C111+D111+E111*2.9+F111*$H$1,0)-1</f>
        <v>1797</v>
      </c>
      <c r="C111" s="355">
        <v>712</v>
      </c>
      <c r="D111" s="355">
        <v>30</v>
      </c>
      <c r="E111" s="355">
        <f>414-50</f>
        <v>364</v>
      </c>
      <c r="F111" s="544">
        <v>0</v>
      </c>
      <c r="G111" s="224"/>
      <c r="H111" s="602"/>
      <c r="I111" s="224"/>
      <c r="J111" s="224"/>
      <c r="K111" s="224"/>
    </row>
    <row r="112" spans="1:11" ht="27" customHeight="1">
      <c r="A112" s="241" t="s">
        <v>493</v>
      </c>
      <c r="B112" s="225">
        <f>ROUND(C112+D112+E112*2.9+F112*$H$1,0)</f>
        <v>110</v>
      </c>
      <c r="C112" s="355">
        <v>110</v>
      </c>
      <c r="D112" s="355">
        <v>0</v>
      </c>
      <c r="E112" s="355">
        <v>0</v>
      </c>
      <c r="F112" s="544">
        <v>0</v>
      </c>
      <c r="G112" s="224"/>
      <c r="H112" s="602"/>
      <c r="I112" s="224"/>
      <c r="J112" s="224"/>
      <c r="K112" s="224"/>
    </row>
    <row r="113" spans="1:11" ht="27" customHeight="1">
      <c r="A113" s="239" t="s">
        <v>34</v>
      </c>
      <c r="B113" s="225">
        <f>ROUND(C113+D113+E113*2.9+F113*$H$1,0)</f>
        <v>4245</v>
      </c>
      <c r="C113" s="355">
        <v>2407</v>
      </c>
      <c r="D113" s="355">
        <v>1725</v>
      </c>
      <c r="E113" s="355">
        <v>39</v>
      </c>
      <c r="F113" s="544">
        <v>0</v>
      </c>
      <c r="G113" s="224"/>
      <c r="H113" s="602"/>
      <c r="I113" s="224"/>
      <c r="J113" s="224"/>
      <c r="K113" s="224"/>
    </row>
    <row r="114" spans="1:11" ht="27" customHeight="1">
      <c r="A114" s="241" t="s">
        <v>493</v>
      </c>
      <c r="B114" s="225">
        <f>ROUND(C114+D114+E114*2.9+F114*$H$1,0)</f>
        <v>180</v>
      </c>
      <c r="C114" s="355">
        <v>180</v>
      </c>
      <c r="D114" s="355">
        <v>0</v>
      </c>
      <c r="E114" s="355">
        <v>0</v>
      </c>
      <c r="F114" s="544">
        <v>0</v>
      </c>
      <c r="G114" s="224"/>
      <c r="H114" s="602"/>
      <c r="I114" s="224"/>
      <c r="J114" s="224"/>
      <c r="K114" s="224"/>
    </row>
    <row r="115" spans="1:11" ht="27" customHeight="1">
      <c r="A115" s="239" t="s">
        <v>486</v>
      </c>
      <c r="B115" s="225">
        <f>ROUND(C115+D115+E115*2.9+F115*$H$1,0)-1</f>
        <v>3451</v>
      </c>
      <c r="C115" s="355">
        <v>1381</v>
      </c>
      <c r="D115" s="355">
        <v>0</v>
      </c>
      <c r="E115" s="355">
        <v>714</v>
      </c>
      <c r="F115" s="544">
        <v>0</v>
      </c>
      <c r="G115" s="224"/>
      <c r="H115" s="602"/>
      <c r="I115" s="224"/>
      <c r="J115" s="224"/>
      <c r="K115" s="224"/>
    </row>
    <row r="116" spans="1:11" ht="27" customHeight="1">
      <c r="A116" s="525" t="s">
        <v>487</v>
      </c>
      <c r="B116" s="263">
        <f>ROUND(C116*10+D116+E116*2.9+F116*$H$1,0)</f>
        <v>300</v>
      </c>
      <c r="C116" s="355">
        <v>30</v>
      </c>
      <c r="D116" s="355">
        <v>0</v>
      </c>
      <c r="E116" s="355">
        <v>0</v>
      </c>
      <c r="F116" s="544">
        <v>0</v>
      </c>
      <c r="G116" s="224"/>
      <c r="H116" s="602"/>
      <c r="I116" s="224"/>
      <c r="J116" s="224"/>
      <c r="K116" s="224"/>
    </row>
    <row r="117" spans="1:11" ht="27" customHeight="1">
      <c r="A117" s="241" t="s">
        <v>493</v>
      </c>
      <c r="B117" s="225">
        <f aca="true" t="shared" si="3" ref="B117:B124">ROUND(C117+D117+E117*2.9+F117*$H$1,0)</f>
        <v>240</v>
      </c>
      <c r="C117" s="355">
        <v>240</v>
      </c>
      <c r="D117" s="355">
        <v>0</v>
      </c>
      <c r="E117" s="355">
        <v>0</v>
      </c>
      <c r="F117" s="544">
        <v>0</v>
      </c>
      <c r="G117" s="224"/>
      <c r="H117" s="602"/>
      <c r="I117" s="224"/>
      <c r="J117" s="224"/>
      <c r="K117" s="224"/>
    </row>
    <row r="118" spans="1:11" ht="27" customHeight="1">
      <c r="A118" s="240" t="s">
        <v>78</v>
      </c>
      <c r="B118" s="225">
        <f t="shared" si="3"/>
        <v>2064</v>
      </c>
      <c r="C118" s="355">
        <v>782</v>
      </c>
      <c r="D118" s="355">
        <v>221</v>
      </c>
      <c r="E118" s="355">
        <v>366</v>
      </c>
      <c r="F118" s="544">
        <v>0</v>
      </c>
      <c r="G118" s="224"/>
      <c r="H118" s="602"/>
      <c r="I118" s="224"/>
      <c r="J118" s="224"/>
      <c r="K118" s="224"/>
    </row>
    <row r="119" spans="1:11" ht="27" customHeight="1">
      <c r="A119" s="239" t="s">
        <v>3</v>
      </c>
      <c r="B119" s="225">
        <f t="shared" si="3"/>
        <v>7983</v>
      </c>
      <c r="C119" s="355">
        <v>2732</v>
      </c>
      <c r="D119" s="355">
        <v>5</v>
      </c>
      <c r="E119" s="355">
        <v>1809</v>
      </c>
      <c r="F119" s="544">
        <v>0</v>
      </c>
      <c r="G119" s="224"/>
      <c r="H119" s="602"/>
      <c r="I119" s="224"/>
      <c r="J119" s="224"/>
      <c r="K119" s="224"/>
    </row>
    <row r="120" spans="1:11" ht="27" customHeight="1">
      <c r="A120" s="239" t="s">
        <v>8</v>
      </c>
      <c r="B120" s="225">
        <f t="shared" si="3"/>
        <v>285</v>
      </c>
      <c r="C120" s="355">
        <v>85</v>
      </c>
      <c r="D120" s="355">
        <v>0</v>
      </c>
      <c r="E120" s="355">
        <v>69</v>
      </c>
      <c r="F120" s="544">
        <v>0</v>
      </c>
      <c r="G120" s="224"/>
      <c r="H120" s="602"/>
      <c r="I120" s="224"/>
      <c r="J120" s="224"/>
      <c r="K120" s="224"/>
    </row>
    <row r="121" spans="1:11" ht="27" customHeight="1">
      <c r="A121" s="241" t="s">
        <v>76</v>
      </c>
      <c r="B121" s="225">
        <f t="shared" si="3"/>
        <v>5536</v>
      </c>
      <c r="C121" s="355">
        <f>1923-109+109</f>
        <v>1923</v>
      </c>
      <c r="D121" s="355">
        <v>78</v>
      </c>
      <c r="E121" s="355">
        <f>1269-83+33</f>
        <v>1219</v>
      </c>
      <c r="F121" s="544">
        <v>0</v>
      </c>
      <c r="G121" s="224"/>
      <c r="H121" s="602"/>
      <c r="I121" s="224"/>
      <c r="J121" s="224"/>
      <c r="K121" s="224"/>
    </row>
    <row r="122" spans="1:11" ht="27" customHeight="1">
      <c r="A122" s="241" t="s">
        <v>493</v>
      </c>
      <c r="B122" s="225">
        <f t="shared" si="3"/>
        <v>495</v>
      </c>
      <c r="C122" s="355">
        <v>495</v>
      </c>
      <c r="D122" s="355">
        <v>0</v>
      </c>
      <c r="E122" s="355">
        <v>0</v>
      </c>
      <c r="F122" s="544">
        <v>0</v>
      </c>
      <c r="G122" s="224"/>
      <c r="H122" s="602"/>
      <c r="I122" s="224"/>
      <c r="J122" s="224"/>
      <c r="K122" s="224"/>
    </row>
    <row r="123" spans="1:11" ht="27" customHeight="1">
      <c r="A123" s="239" t="s">
        <v>2</v>
      </c>
      <c r="B123" s="225">
        <f t="shared" si="3"/>
        <v>6162</v>
      </c>
      <c r="C123" s="355">
        <f>1948-166+166</f>
        <v>1948</v>
      </c>
      <c r="D123" s="355">
        <v>0</v>
      </c>
      <c r="E123" s="355">
        <f>1453-236+236</f>
        <v>1453</v>
      </c>
      <c r="F123" s="544">
        <v>0</v>
      </c>
      <c r="G123" s="224"/>
      <c r="H123" s="602"/>
      <c r="I123" s="224"/>
      <c r="J123" s="224"/>
      <c r="K123" s="224"/>
    </row>
    <row r="124" spans="1:11" ht="27" customHeight="1">
      <c r="A124" s="241" t="s">
        <v>493</v>
      </c>
      <c r="B124" s="225">
        <f t="shared" si="3"/>
        <v>380</v>
      </c>
      <c r="C124" s="355">
        <v>380</v>
      </c>
      <c r="D124" s="355">
        <v>0</v>
      </c>
      <c r="E124" s="355">
        <v>0</v>
      </c>
      <c r="F124" s="545">
        <v>0</v>
      </c>
      <c r="G124" s="224"/>
      <c r="H124" s="602"/>
      <c r="I124" s="224"/>
      <c r="J124" s="224"/>
      <c r="K124" s="224"/>
    </row>
    <row r="125" spans="1:11" ht="27" customHeight="1">
      <c r="A125" s="235" t="s">
        <v>367</v>
      </c>
      <c r="B125" s="236">
        <f>ROUND(C125+D125+E125*2.9+F125*$H$1,0)</f>
        <v>61697</v>
      </c>
      <c r="C125" s="355">
        <f>7557+2900</f>
        <v>10457</v>
      </c>
      <c r="D125" s="355">
        <v>11646</v>
      </c>
      <c r="E125" s="355">
        <f>14653-1000</f>
        <v>13653</v>
      </c>
      <c r="F125" s="603">
        <v>0</v>
      </c>
      <c r="G125" s="224"/>
      <c r="H125" s="602"/>
      <c r="I125" s="224"/>
      <c r="J125" s="224"/>
      <c r="K125" s="224"/>
    </row>
    <row r="126" spans="1:11" ht="27" customHeight="1">
      <c r="A126" s="255" t="s">
        <v>393</v>
      </c>
      <c r="B126" s="256">
        <f>ROUND(C126+D126+E126*2.9+F126*$H$1,0)</f>
        <v>8078</v>
      </c>
      <c r="C126" s="604">
        <f>SUM(C127:C129)</f>
        <v>8078</v>
      </c>
      <c r="D126" s="604">
        <v>0</v>
      </c>
      <c r="E126" s="604">
        <v>0</v>
      </c>
      <c r="F126" s="605">
        <v>0</v>
      </c>
      <c r="G126" s="224"/>
      <c r="H126" s="602"/>
      <c r="I126" s="224"/>
      <c r="J126" s="224"/>
      <c r="K126" s="224"/>
    </row>
    <row r="127" spans="1:11" ht="27" customHeight="1">
      <c r="A127" s="525" t="s">
        <v>145</v>
      </c>
      <c r="B127" s="256">
        <f>ROUND(C127+D127+E127*2.9+F127*$H$1,0)</f>
        <v>28</v>
      </c>
      <c r="C127" s="604">
        <f>'1.1. ПРОФ.МЕРОПРИЯТИЯ'!C11</f>
        <v>28</v>
      </c>
      <c r="D127" s="604">
        <v>0</v>
      </c>
      <c r="E127" s="604">
        <v>0</v>
      </c>
      <c r="F127" s="605">
        <v>0</v>
      </c>
      <c r="G127" s="224"/>
      <c r="H127" s="602"/>
      <c r="I127" s="224"/>
      <c r="J127" s="224"/>
      <c r="K127" s="224"/>
    </row>
    <row r="128" spans="1:11" ht="27" customHeight="1">
      <c r="A128" s="525" t="s">
        <v>146</v>
      </c>
      <c r="B128" s="256">
        <f>ROUND(C128+D128+E128*2.9+F128*$H$1,0)</f>
        <v>38</v>
      </c>
      <c r="C128" s="604">
        <f>'1.1. ПРОФ.МЕРОПРИЯТИЯ'!D11</f>
        <v>38</v>
      </c>
      <c r="D128" s="604">
        <v>0</v>
      </c>
      <c r="E128" s="604">
        <v>0</v>
      </c>
      <c r="F128" s="605">
        <v>0</v>
      </c>
      <c r="G128" s="224"/>
      <c r="H128" s="602"/>
      <c r="I128" s="224"/>
      <c r="J128" s="224"/>
      <c r="K128" s="224"/>
    </row>
    <row r="129" spans="1:11" ht="27" customHeight="1">
      <c r="A129" s="525" t="s">
        <v>147</v>
      </c>
      <c r="B129" s="256">
        <f>ROUND(C129+D129+E129*2.9+F129*$H$1,0)</f>
        <v>8012</v>
      </c>
      <c r="C129" s="604">
        <f>'1.1. ПРОФ.МЕРОПРИЯТИЯ'!H11</f>
        <v>8012</v>
      </c>
      <c r="D129" s="604">
        <v>0</v>
      </c>
      <c r="E129" s="604">
        <v>0</v>
      </c>
      <c r="F129" s="605">
        <v>0</v>
      </c>
      <c r="G129" s="224"/>
      <c r="H129" s="602"/>
      <c r="I129" s="224"/>
      <c r="J129" s="224"/>
      <c r="K129" s="224"/>
    </row>
    <row r="130" spans="1:11" ht="27" customHeight="1">
      <c r="A130" s="239" t="s">
        <v>422</v>
      </c>
      <c r="B130" s="225">
        <f>ROUND(C130+D130+E130*2.9+F130*$H$1,0)-1</f>
        <v>4742</v>
      </c>
      <c r="C130" s="355">
        <v>1404</v>
      </c>
      <c r="D130" s="355">
        <v>946</v>
      </c>
      <c r="E130" s="355">
        <v>825</v>
      </c>
      <c r="F130" s="544">
        <v>0</v>
      </c>
      <c r="G130" s="224"/>
      <c r="H130" s="602"/>
      <c r="I130" s="224"/>
      <c r="J130" s="224"/>
      <c r="K130" s="224"/>
    </row>
    <row r="131" spans="1:11" ht="29.25" customHeight="1">
      <c r="A131" s="241" t="s">
        <v>493</v>
      </c>
      <c r="B131" s="225">
        <f>ROUND(C131+D131+E131*2.9+F131*$H$1,0)</f>
        <v>200</v>
      </c>
      <c r="C131" s="355">
        <v>200</v>
      </c>
      <c r="D131" s="355">
        <v>0</v>
      </c>
      <c r="E131" s="355">
        <v>0</v>
      </c>
      <c r="F131" s="544">
        <v>0</v>
      </c>
      <c r="H131" s="602"/>
      <c r="I131" s="224"/>
      <c r="J131" s="224"/>
      <c r="K131" s="224"/>
    </row>
    <row r="132" spans="1:11" ht="32.25" customHeight="1" thickBot="1">
      <c r="A132" s="241" t="s">
        <v>503</v>
      </c>
      <c r="B132" s="225">
        <f>ROUND(C132+D132+E132*2.9+F132*$H$1,0)</f>
        <v>7454</v>
      </c>
      <c r="C132" s="355">
        <v>7183</v>
      </c>
      <c r="D132" s="355">
        <v>100</v>
      </c>
      <c r="E132" s="355">
        <v>59</v>
      </c>
      <c r="F132" s="544">
        <v>0</v>
      </c>
      <c r="G132" s="224"/>
      <c r="H132" s="602">
        <f>H133-'[2]ЦОМИД'!$E$63</f>
        <v>1189</v>
      </c>
      <c r="I132" s="224"/>
      <c r="J132" s="224"/>
      <c r="K132" s="224"/>
    </row>
    <row r="133" spans="1:11" ht="30" customHeight="1">
      <c r="A133" s="567" t="s">
        <v>498</v>
      </c>
      <c r="B133" s="568">
        <f>SUM(B107:B111,B113,B115,B118:B121,B123,B125,B130,B132,B102:B106)</f>
        <v>148832</v>
      </c>
      <c r="C133" s="568">
        <f>SUM(C107:C111,C113,C115,C118:C121,C123,C125,C130,C132,C102:C106)</f>
        <v>53824</v>
      </c>
      <c r="D133" s="265">
        <f>SUM(D107:D111,D113,D115,D118:D121,D123,D125,D130,D132,D102:D106)</f>
        <v>15901</v>
      </c>
      <c r="E133" s="265">
        <f>SUM(E107:E111,E113,E115,E118:E121,E123,E125,E130,E132,E102:E106)</f>
        <v>26820</v>
      </c>
      <c r="F133" s="569">
        <f>SUM(F107:F111,F113,F115,F118:F121,F123,F125,F130,F132,F102:F106)</f>
        <v>1331</v>
      </c>
      <c r="G133" s="337">
        <f>C133-C126</f>
        <v>45746</v>
      </c>
      <c r="H133" s="337">
        <f>D133-D126</f>
        <v>15901</v>
      </c>
      <c r="I133" s="337">
        <f>E133-E126</f>
        <v>26820</v>
      </c>
      <c r="J133" s="337"/>
      <c r="K133" s="337"/>
    </row>
    <row r="134" spans="1:11" ht="32.25" customHeight="1" thickBot="1">
      <c r="A134" s="590" t="s">
        <v>493</v>
      </c>
      <c r="B134" s="236">
        <f>ROUND(C134+D134+E134*2.9+F134*$H$1,0)</f>
        <v>1605</v>
      </c>
      <c r="C134" s="355">
        <f>C131+C124+C122+C117+C114+C112</f>
        <v>1605</v>
      </c>
      <c r="D134" s="591">
        <v>0</v>
      </c>
      <c r="E134" s="591">
        <v>0</v>
      </c>
      <c r="F134" s="561">
        <v>0</v>
      </c>
      <c r="G134" s="337"/>
      <c r="H134" s="337"/>
      <c r="I134" s="337"/>
      <c r="J134" s="337"/>
      <c r="K134" s="337"/>
    </row>
    <row r="135" spans="1:6" ht="15" hidden="1">
      <c r="A135" s="228"/>
      <c r="B135" s="225"/>
      <c r="C135" s="300"/>
      <c r="D135" s="298"/>
      <c r="E135" s="299"/>
      <c r="F135" s="342"/>
    </row>
    <row r="136" spans="1:6" ht="15" hidden="1">
      <c r="A136" s="242"/>
      <c r="B136" s="225"/>
      <c r="C136" s="300"/>
      <c r="D136" s="298"/>
      <c r="E136" s="299"/>
      <c r="F136" s="342"/>
    </row>
    <row r="137" spans="1:7" s="260" customFormat="1" ht="15" hidden="1">
      <c r="A137" s="255"/>
      <c r="B137" s="256"/>
      <c r="C137" s="303"/>
      <c r="D137" s="304"/>
      <c r="E137" s="305"/>
      <c r="F137" s="553"/>
      <c r="G137" s="223"/>
    </row>
    <row r="138" spans="1:7" s="260" customFormat="1" ht="15" hidden="1">
      <c r="A138" s="255"/>
      <c r="B138" s="256"/>
      <c r="C138" s="303"/>
      <c r="D138" s="304"/>
      <c r="E138" s="305"/>
      <c r="F138" s="553"/>
      <c r="G138" s="223"/>
    </row>
    <row r="139" spans="1:7" s="260" customFormat="1" ht="15" hidden="1">
      <c r="A139" s="255"/>
      <c r="B139" s="256"/>
      <c r="C139" s="303"/>
      <c r="D139" s="304"/>
      <c r="E139" s="305"/>
      <c r="F139" s="553"/>
      <c r="G139" s="223"/>
    </row>
    <row r="140" spans="1:6" ht="15" hidden="1">
      <c r="A140" s="242"/>
      <c r="B140" s="225"/>
      <c r="C140" s="300"/>
      <c r="D140" s="298"/>
      <c r="E140" s="299"/>
      <c r="F140" s="342"/>
    </row>
    <row r="141" spans="1:6" ht="15" hidden="1">
      <c r="A141" s="242"/>
      <c r="B141" s="225"/>
      <c r="C141" s="300"/>
      <c r="D141" s="298"/>
      <c r="E141" s="299"/>
      <c r="F141" s="342"/>
    </row>
    <row r="142" spans="1:6" ht="15" hidden="1">
      <c r="A142" s="242"/>
      <c r="B142" s="225"/>
      <c r="C142" s="300"/>
      <c r="D142" s="298"/>
      <c r="E142" s="299"/>
      <c r="F142" s="342"/>
    </row>
    <row r="143" spans="1:6" ht="15" hidden="1">
      <c r="A143" s="242"/>
      <c r="B143" s="225"/>
      <c r="C143" s="300"/>
      <c r="D143" s="298"/>
      <c r="E143" s="299"/>
      <c r="F143" s="342"/>
    </row>
    <row r="144" spans="1:6" ht="15" hidden="1">
      <c r="A144" s="234"/>
      <c r="B144" s="225"/>
      <c r="C144" s="297"/>
      <c r="D144" s="298"/>
      <c r="E144" s="299"/>
      <c r="F144" s="342"/>
    </row>
    <row r="145" spans="1:6" ht="15.75" hidden="1" thickBot="1">
      <c r="A145" s="242"/>
      <c r="B145" s="225"/>
      <c r="C145" s="300"/>
      <c r="D145" s="298"/>
      <c r="E145" s="299"/>
      <c r="F145" s="342"/>
    </row>
    <row r="146" spans="1:6" ht="18" customHeight="1" hidden="1" thickBot="1">
      <c r="A146" s="231"/>
      <c r="B146" s="233"/>
      <c r="C146" s="306"/>
      <c r="D146" s="306"/>
      <c r="E146" s="307"/>
      <c r="F146" s="552"/>
    </row>
    <row r="147" spans="1:11" ht="21.75" customHeight="1">
      <c r="A147" s="691" t="s">
        <v>394</v>
      </c>
      <c r="B147" s="692"/>
      <c r="C147" s="692"/>
      <c r="D147" s="692"/>
      <c r="E147" s="692"/>
      <c r="F147" s="693"/>
      <c r="G147" s="337"/>
      <c r="H147" s="337"/>
      <c r="I147" s="337"/>
      <c r="J147" s="337"/>
      <c r="K147" s="337"/>
    </row>
    <row r="148" spans="1:11" ht="20.25" customHeight="1">
      <c r="A148" s="242" t="s">
        <v>68</v>
      </c>
      <c r="B148" s="244">
        <f>ROUND(C148+D148+E148*2.9+F148*$H$1,0)-1</f>
        <v>3097</v>
      </c>
      <c r="C148" s="344">
        <v>871</v>
      </c>
      <c r="D148" s="345">
        <v>235</v>
      </c>
      <c r="E148" s="345">
        <f>779-92</f>
        <v>687</v>
      </c>
      <c r="F148" s="544">
        <v>0</v>
      </c>
      <c r="G148" s="337"/>
      <c r="H148" s="337"/>
      <c r="I148" s="337"/>
      <c r="J148" s="337"/>
      <c r="K148" s="337"/>
    </row>
    <row r="149" spans="1:11" ht="20.25" customHeight="1">
      <c r="A149" s="239" t="s">
        <v>75</v>
      </c>
      <c r="B149" s="244">
        <f aca="true" t="shared" si="4" ref="B149:B166">ROUND(C149+D149+E149*2.9+F149*$H$1,0)</f>
        <v>975</v>
      </c>
      <c r="C149" s="344">
        <v>252</v>
      </c>
      <c r="D149" s="345">
        <v>68</v>
      </c>
      <c r="E149" s="345">
        <v>226</v>
      </c>
      <c r="F149" s="544">
        <v>0</v>
      </c>
      <c r="G149" s="337"/>
      <c r="H149" s="337"/>
      <c r="I149" s="337"/>
      <c r="J149" s="337"/>
      <c r="K149" s="337"/>
    </row>
    <row r="150" spans="1:11" ht="20.25" customHeight="1">
      <c r="A150" s="239" t="s">
        <v>46</v>
      </c>
      <c r="B150" s="244">
        <f t="shared" si="4"/>
        <v>7763</v>
      </c>
      <c r="C150" s="344">
        <v>1766</v>
      </c>
      <c r="D150" s="345">
        <v>478</v>
      </c>
      <c r="E150" s="345">
        <v>1903</v>
      </c>
      <c r="F150" s="544">
        <v>0</v>
      </c>
      <c r="G150" s="337"/>
      <c r="H150" s="337"/>
      <c r="I150" s="337"/>
      <c r="J150" s="337"/>
      <c r="K150" s="337"/>
    </row>
    <row r="151" spans="1:11" ht="20.25" customHeight="1">
      <c r="A151" s="234" t="s">
        <v>9</v>
      </c>
      <c r="B151" s="245">
        <f t="shared" si="4"/>
        <v>4876</v>
      </c>
      <c r="C151" s="344">
        <v>1261</v>
      </c>
      <c r="D151" s="345">
        <v>341</v>
      </c>
      <c r="E151" s="345">
        <v>1129</v>
      </c>
      <c r="F151" s="544">
        <v>0</v>
      </c>
      <c r="G151" s="337"/>
      <c r="H151" s="337"/>
      <c r="I151" s="337"/>
      <c r="J151" s="337"/>
      <c r="K151" s="337"/>
    </row>
    <row r="152" spans="1:11" ht="20.25" customHeight="1">
      <c r="A152" s="242" t="s">
        <v>71</v>
      </c>
      <c r="B152" s="244">
        <f t="shared" si="4"/>
        <v>2438</v>
      </c>
      <c r="C152" s="344">
        <v>631</v>
      </c>
      <c r="D152" s="345">
        <v>171</v>
      </c>
      <c r="E152" s="345">
        <v>564</v>
      </c>
      <c r="F152" s="544">
        <v>0</v>
      </c>
      <c r="G152" s="337"/>
      <c r="H152" s="337"/>
      <c r="I152" s="337"/>
      <c r="J152" s="337"/>
      <c r="K152" s="337"/>
    </row>
    <row r="153" spans="1:11" ht="20.25" customHeight="1">
      <c r="A153" s="239" t="s">
        <v>13</v>
      </c>
      <c r="B153" s="246">
        <f t="shared" si="4"/>
        <v>1024</v>
      </c>
      <c r="C153" s="344">
        <v>265</v>
      </c>
      <c r="D153" s="345">
        <v>72</v>
      </c>
      <c r="E153" s="345">
        <v>237</v>
      </c>
      <c r="F153" s="544">
        <v>0</v>
      </c>
      <c r="G153" s="337"/>
      <c r="H153" s="337"/>
      <c r="I153" s="337"/>
      <c r="J153" s="337"/>
      <c r="K153" s="337"/>
    </row>
    <row r="154" spans="1:11" ht="20.25" customHeight="1">
      <c r="A154" s="234" t="s">
        <v>78</v>
      </c>
      <c r="B154" s="225">
        <f t="shared" si="4"/>
        <v>5536</v>
      </c>
      <c r="C154" s="344">
        <f>1433-231</f>
        <v>1202</v>
      </c>
      <c r="D154" s="345">
        <v>388</v>
      </c>
      <c r="E154" s="345">
        <v>1218</v>
      </c>
      <c r="F154" s="549">
        <f>'1.2. Диспансерное наблюдение'!$D$11</f>
        <v>414</v>
      </c>
      <c r="G154" s="337"/>
      <c r="H154" s="337"/>
      <c r="I154" s="337"/>
      <c r="J154" s="337"/>
      <c r="K154" s="337"/>
    </row>
    <row r="155" spans="1:11" ht="20.25" customHeight="1">
      <c r="A155" s="239" t="s">
        <v>70</v>
      </c>
      <c r="B155" s="246">
        <f t="shared" si="4"/>
        <v>1412</v>
      </c>
      <c r="C155" s="349">
        <v>0</v>
      </c>
      <c r="D155" s="517">
        <v>0</v>
      </c>
      <c r="E155" s="517">
        <f>197+290</f>
        <v>487</v>
      </c>
      <c r="F155" s="544">
        <v>0</v>
      </c>
      <c r="G155" s="337"/>
      <c r="H155" s="337"/>
      <c r="I155" s="337"/>
      <c r="J155" s="337"/>
      <c r="K155" s="337"/>
    </row>
    <row r="156" spans="1:11" ht="20.25" customHeight="1">
      <c r="A156" s="234" t="s">
        <v>64</v>
      </c>
      <c r="B156" s="236">
        <f t="shared" si="4"/>
        <v>8091</v>
      </c>
      <c r="C156" s="355">
        <v>1533</v>
      </c>
      <c r="D156" s="345">
        <v>511</v>
      </c>
      <c r="E156" s="345">
        <v>1986</v>
      </c>
      <c r="F156" s="554">
        <f>'1.2. Диспансерное наблюдение'!$D$12</f>
        <v>288</v>
      </c>
      <c r="G156" s="337"/>
      <c r="H156" s="337"/>
      <c r="I156" s="337"/>
      <c r="J156" s="337"/>
      <c r="K156" s="337"/>
    </row>
    <row r="157" spans="1:11" ht="20.25" customHeight="1">
      <c r="A157" s="234" t="s">
        <v>3</v>
      </c>
      <c r="B157" s="225">
        <f t="shared" si="4"/>
        <v>14489</v>
      </c>
      <c r="C157" s="344">
        <v>2622</v>
      </c>
      <c r="D157" s="345">
        <v>1014</v>
      </c>
      <c r="E157" s="345">
        <v>3253</v>
      </c>
      <c r="F157" s="549">
        <f>'1.2. Диспансерное наблюдение'!$D$13</f>
        <v>1419</v>
      </c>
      <c r="G157" s="337"/>
      <c r="H157" s="337"/>
      <c r="I157" s="337"/>
      <c r="J157" s="337"/>
      <c r="K157" s="337"/>
    </row>
    <row r="158" spans="1:11" ht="20.25" customHeight="1">
      <c r="A158" s="235" t="s">
        <v>76</v>
      </c>
      <c r="B158" s="225">
        <f t="shared" si="4"/>
        <v>11918</v>
      </c>
      <c r="C158" s="355">
        <v>2820</v>
      </c>
      <c r="D158" s="345">
        <v>834</v>
      </c>
      <c r="E158" s="345">
        <v>2734</v>
      </c>
      <c r="F158" s="549">
        <f>'1.2. Диспансерное наблюдение'!$D$15</f>
        <v>335</v>
      </c>
      <c r="G158" s="337"/>
      <c r="H158" s="337"/>
      <c r="I158" s="337"/>
      <c r="J158" s="337"/>
      <c r="K158" s="337"/>
    </row>
    <row r="159" spans="1:11" ht="20.25" customHeight="1">
      <c r="A159" s="239" t="s">
        <v>2</v>
      </c>
      <c r="B159" s="225">
        <f t="shared" si="4"/>
        <v>12628</v>
      </c>
      <c r="C159" s="344">
        <v>2656</v>
      </c>
      <c r="D159" s="345">
        <v>884</v>
      </c>
      <c r="E159" s="345">
        <v>2814</v>
      </c>
      <c r="F159" s="549">
        <f>'1.2. Диспансерное наблюдение'!$D$16</f>
        <v>927</v>
      </c>
      <c r="G159" s="337"/>
      <c r="H159" s="337"/>
      <c r="I159" s="337"/>
      <c r="J159" s="337"/>
      <c r="K159" s="337"/>
    </row>
    <row r="160" spans="1:6" ht="20.25" customHeight="1">
      <c r="A160" s="239" t="s">
        <v>10</v>
      </c>
      <c r="B160" s="244">
        <f t="shared" si="4"/>
        <v>975</v>
      </c>
      <c r="C160" s="344">
        <v>252</v>
      </c>
      <c r="D160" s="345">
        <v>68</v>
      </c>
      <c r="E160" s="345">
        <v>226</v>
      </c>
      <c r="F160" s="544">
        <v>0</v>
      </c>
    </row>
    <row r="161" spans="1:6" ht="20.25" customHeight="1">
      <c r="A161" s="239" t="s">
        <v>213</v>
      </c>
      <c r="B161" s="246">
        <f t="shared" si="4"/>
        <v>138466</v>
      </c>
      <c r="C161" s="344">
        <f>C162+C164</f>
        <v>19740</v>
      </c>
      <c r="D161" s="344">
        <f>D162+D164</f>
        <v>10576</v>
      </c>
      <c r="E161" s="438">
        <f>E162+E164</f>
        <v>37293</v>
      </c>
      <c r="F161" s="544">
        <v>0</v>
      </c>
    </row>
    <row r="162" spans="1:6" ht="20.25" customHeight="1">
      <c r="A162" s="280" t="s">
        <v>214</v>
      </c>
      <c r="B162" s="349">
        <f t="shared" si="4"/>
        <v>105465</v>
      </c>
      <c r="C162" s="349">
        <v>12000</v>
      </c>
      <c r="D162" s="350">
        <v>7355</v>
      </c>
      <c r="E162" s="350">
        <v>29693</v>
      </c>
      <c r="F162" s="544">
        <v>0</v>
      </c>
    </row>
    <row r="163" spans="1:6" ht="31.5" customHeight="1">
      <c r="A163" s="228" t="s">
        <v>492</v>
      </c>
      <c r="B163" s="343">
        <f>ROUND(C163+D163+E163*2.9+F163*$H$1,0)</f>
        <v>1500</v>
      </c>
      <c r="C163" s="349">
        <v>750</v>
      </c>
      <c r="D163" s="350">
        <v>300</v>
      </c>
      <c r="E163" s="350">
        <v>155</v>
      </c>
      <c r="F163" s="544"/>
    </row>
    <row r="164" spans="1:6" ht="20.25" customHeight="1">
      <c r="A164" s="280" t="s">
        <v>215</v>
      </c>
      <c r="B164" s="349">
        <f>ROUND(C164+D164+E164*2.9+F164*$H$1,0)</f>
        <v>33001</v>
      </c>
      <c r="C164" s="349">
        <v>7740</v>
      </c>
      <c r="D164" s="350">
        <v>3221</v>
      </c>
      <c r="E164" s="350">
        <v>7600</v>
      </c>
      <c r="F164" s="544">
        <v>0</v>
      </c>
    </row>
    <row r="165" spans="1:6" ht="27.75" customHeight="1">
      <c r="A165" s="228" t="s">
        <v>79</v>
      </c>
      <c r="B165" s="246">
        <f t="shared" si="4"/>
        <v>19599</v>
      </c>
      <c r="C165" s="344">
        <v>15473</v>
      </c>
      <c r="D165" s="345">
        <v>568</v>
      </c>
      <c r="E165" s="345">
        <v>1227</v>
      </c>
      <c r="F165" s="544">
        <v>0</v>
      </c>
    </row>
    <row r="166" spans="1:11" ht="20.25" customHeight="1">
      <c r="A166" s="229" t="s">
        <v>368</v>
      </c>
      <c r="B166" s="245">
        <f t="shared" si="4"/>
        <v>136672</v>
      </c>
      <c r="C166" s="344">
        <v>40849</v>
      </c>
      <c r="D166" s="345">
        <v>10135</v>
      </c>
      <c r="E166" s="345">
        <v>24617</v>
      </c>
      <c r="F166" s="548">
        <f>'1.2. Диспансерное наблюдение'!$D$17</f>
        <v>14299</v>
      </c>
      <c r="G166" s="224"/>
      <c r="H166" s="224"/>
      <c r="I166" s="224"/>
      <c r="J166" s="224"/>
      <c r="K166" s="224"/>
    </row>
    <row r="167" spans="1:11" s="260" customFormat="1" ht="32.25" customHeight="1">
      <c r="A167" s="255" t="s">
        <v>393</v>
      </c>
      <c r="B167" s="256">
        <f>ROUND(C167+D167+E167*2.9,0)</f>
        <v>38299</v>
      </c>
      <c r="C167" s="634">
        <f>C168+C170</f>
        <v>38299</v>
      </c>
      <c r="D167" s="518">
        <v>0</v>
      </c>
      <c r="E167" s="518">
        <v>0</v>
      </c>
      <c r="F167" s="544">
        <v>0</v>
      </c>
      <c r="G167" s="223"/>
      <c r="I167" s="261"/>
      <c r="J167" s="261"/>
      <c r="K167" s="261"/>
    </row>
    <row r="168" spans="1:11" s="260" customFormat="1" ht="29.25" customHeight="1">
      <c r="A168" s="255" t="s">
        <v>370</v>
      </c>
      <c r="B168" s="256">
        <f>ROUND(C168+D168+E168*2.9,0)</f>
        <v>31395</v>
      </c>
      <c r="C168" s="634">
        <f>'1.1. ПРОФ.МЕРОПРИЯТИЯ'!E12</f>
        <v>31395</v>
      </c>
      <c r="D168" s="518">
        <v>0</v>
      </c>
      <c r="E168" s="518">
        <v>0</v>
      </c>
      <c r="F168" s="544">
        <v>0</v>
      </c>
      <c r="G168" s="223"/>
      <c r="I168" s="261"/>
      <c r="J168" s="261"/>
      <c r="K168" s="261"/>
    </row>
    <row r="169" spans="1:11" s="260" customFormat="1" ht="24" customHeight="1">
      <c r="A169" s="255" t="s">
        <v>369</v>
      </c>
      <c r="B169" s="256"/>
      <c r="C169" s="634">
        <f>'1.1. ПРОФ.МЕРОПРИЯТИЯ'!F12</f>
        <v>2153</v>
      </c>
      <c r="D169" s="518">
        <v>0</v>
      </c>
      <c r="E169" s="518">
        <v>0</v>
      </c>
      <c r="F169" s="544">
        <v>0</v>
      </c>
      <c r="G169" s="223"/>
      <c r="I169" s="261"/>
      <c r="J169" s="261"/>
      <c r="K169" s="261"/>
    </row>
    <row r="170" spans="1:11" s="260" customFormat="1" ht="30" customHeight="1">
      <c r="A170" s="255" t="s">
        <v>203</v>
      </c>
      <c r="B170" s="256">
        <f>ROUND(C170+D170+E170*2.9,0)</f>
        <v>6904</v>
      </c>
      <c r="C170" s="634">
        <f>'1.1. ПРОФ.МЕРОПРИЯТИЯ'!I12</f>
        <v>6904</v>
      </c>
      <c r="D170" s="518">
        <v>0</v>
      </c>
      <c r="E170" s="518">
        <v>0</v>
      </c>
      <c r="F170" s="544">
        <v>0</v>
      </c>
      <c r="G170" s="223"/>
      <c r="I170" s="261"/>
      <c r="J170" s="261"/>
      <c r="K170" s="261"/>
    </row>
    <row r="171" spans="1:11" s="260" customFormat="1" ht="15" customHeight="1">
      <c r="A171" s="234" t="s">
        <v>422</v>
      </c>
      <c r="B171" s="225">
        <f aca="true" t="shared" si="5" ref="B171:B179">ROUND(C171+D171+E171*2.9+F171*$H$1,0)</f>
        <v>27174</v>
      </c>
      <c r="C171" s="344">
        <v>6890</v>
      </c>
      <c r="D171" s="345">
        <v>1902</v>
      </c>
      <c r="E171" s="345">
        <v>6283</v>
      </c>
      <c r="F171" s="549">
        <f>'1.2. Диспансерное наблюдение'!$D$18</f>
        <v>161</v>
      </c>
      <c r="G171" s="223"/>
      <c r="I171" s="261"/>
      <c r="J171" s="261"/>
      <c r="K171" s="261"/>
    </row>
    <row r="172" spans="1:11" s="260" customFormat="1" ht="15" customHeight="1">
      <c r="A172" s="234" t="s">
        <v>1</v>
      </c>
      <c r="B172" s="225">
        <f t="shared" si="5"/>
        <v>9592</v>
      </c>
      <c r="C172" s="344">
        <v>2235</v>
      </c>
      <c r="D172" s="345">
        <v>671</v>
      </c>
      <c r="E172" s="345">
        <v>2243</v>
      </c>
      <c r="F172" s="549">
        <f>'1.2. Диспансерное наблюдение'!$D$19</f>
        <v>181</v>
      </c>
      <c r="G172" s="223"/>
      <c r="I172" s="261"/>
      <c r="J172" s="261"/>
      <c r="K172" s="261"/>
    </row>
    <row r="173" spans="1:11" s="260" customFormat="1" ht="15" customHeight="1">
      <c r="A173" s="234" t="s">
        <v>33</v>
      </c>
      <c r="B173" s="225">
        <f t="shared" si="5"/>
        <v>14728</v>
      </c>
      <c r="C173" s="344">
        <v>3503</v>
      </c>
      <c r="D173" s="345">
        <v>1043</v>
      </c>
      <c r="E173" s="345">
        <f>3414-57</f>
        <v>3357</v>
      </c>
      <c r="F173" s="549">
        <f>'1.2. Диспансерное наблюдение'!$D$20</f>
        <v>447</v>
      </c>
      <c r="G173" s="223"/>
      <c r="I173" s="261"/>
      <c r="J173" s="261"/>
      <c r="K173" s="261"/>
    </row>
    <row r="174" spans="1:6" ht="13.5" customHeight="1">
      <c r="A174" s="242" t="s">
        <v>241</v>
      </c>
      <c r="B174" s="244">
        <f t="shared" si="5"/>
        <v>833</v>
      </c>
      <c r="C174" s="344">
        <v>215</v>
      </c>
      <c r="D174" s="345">
        <v>58</v>
      </c>
      <c r="E174" s="345">
        <v>193</v>
      </c>
      <c r="F174" s="544">
        <v>0</v>
      </c>
    </row>
    <row r="175" spans="1:6" ht="13.5" customHeight="1">
      <c r="A175" s="242" t="s">
        <v>5</v>
      </c>
      <c r="B175" s="225">
        <f t="shared" si="5"/>
        <v>11179</v>
      </c>
      <c r="C175" s="344">
        <v>1757</v>
      </c>
      <c r="D175" s="345">
        <v>792</v>
      </c>
      <c r="E175" s="345">
        <v>2559</v>
      </c>
      <c r="F175" s="549">
        <f>'1.2. Диспансерное наблюдение'!$D$21</f>
        <v>1209</v>
      </c>
    </row>
    <row r="176" spans="1:6" ht="27.75" customHeight="1">
      <c r="A176" s="525" t="s">
        <v>487</v>
      </c>
      <c r="B176" s="263">
        <f>ROUND(C176*5+D176+E176*2.9+F176*$H$1,0)</f>
        <v>250</v>
      </c>
      <c r="C176" s="349">
        <v>50</v>
      </c>
      <c r="D176" s="518">
        <v>0</v>
      </c>
      <c r="E176" s="518">
        <v>0</v>
      </c>
      <c r="F176" s="544">
        <v>0</v>
      </c>
    </row>
    <row r="177" spans="1:6" ht="16.5" customHeight="1">
      <c r="A177" s="239" t="s">
        <v>216</v>
      </c>
      <c r="B177" s="246">
        <f t="shared" si="5"/>
        <v>3753</v>
      </c>
      <c r="C177" s="344">
        <f>SUM(C178:C179)</f>
        <v>3753</v>
      </c>
      <c r="D177" s="518">
        <v>0</v>
      </c>
      <c r="E177" s="518">
        <v>0</v>
      </c>
      <c r="F177" s="544">
        <v>0</v>
      </c>
    </row>
    <row r="178" spans="1:7" s="237" customFormat="1" ht="16.5" customHeight="1">
      <c r="A178" s="280" t="s">
        <v>217</v>
      </c>
      <c r="B178" s="246">
        <f t="shared" si="5"/>
        <v>0</v>
      </c>
      <c r="C178" s="349">
        <f>2236-2236</f>
        <v>0</v>
      </c>
      <c r="D178" s="518">
        <v>0</v>
      </c>
      <c r="E178" s="518">
        <v>0</v>
      </c>
      <c r="F178" s="544">
        <v>0</v>
      </c>
      <c r="G178" s="223"/>
    </row>
    <row r="179" spans="1:8" s="237" customFormat="1" ht="16.5" customHeight="1" thickBot="1">
      <c r="A179" s="280" t="s">
        <v>218</v>
      </c>
      <c r="B179" s="246">
        <f t="shared" si="5"/>
        <v>3753</v>
      </c>
      <c r="C179" s="349">
        <v>3753</v>
      </c>
      <c r="D179" s="518">
        <v>0</v>
      </c>
      <c r="E179" s="518">
        <v>0</v>
      </c>
      <c r="F179" s="544">
        <v>0</v>
      </c>
      <c r="G179" s="223"/>
      <c r="H179" s="337">
        <f>H180-C167</f>
        <v>72247</v>
      </c>
    </row>
    <row r="180" spans="1:11" ht="32.25" customHeight="1">
      <c r="A180" s="567" t="s">
        <v>404</v>
      </c>
      <c r="B180" s="568">
        <f>SUM(B148:B161,B165:B166,B171:B175,B177)</f>
        <v>437218</v>
      </c>
      <c r="C180" s="568">
        <f>SUM(C148:C161,C165:C166,C171:C175,C177)</f>
        <v>110546</v>
      </c>
      <c r="D180" s="568">
        <f>SUM(D148:D161,D165:D166,D171:D175,D177)</f>
        <v>30809</v>
      </c>
      <c r="E180" s="568">
        <f>SUM(E148:E161,E165:E166,E171:E175,E177)</f>
        <v>95236</v>
      </c>
      <c r="F180" s="569">
        <f>SUM(F148:F161,F165:F166,F171:F175,F177)</f>
        <v>19680</v>
      </c>
      <c r="G180" s="337">
        <v>436377</v>
      </c>
      <c r="H180" s="337">
        <v>110546</v>
      </c>
      <c r="I180" s="339">
        <v>30809</v>
      </c>
      <c r="J180" s="337">
        <v>94946</v>
      </c>
      <c r="K180" s="339">
        <v>19680</v>
      </c>
    </row>
    <row r="181" spans="1:11" ht="27.75" customHeight="1" thickBot="1">
      <c r="A181" s="592" t="s">
        <v>494</v>
      </c>
      <c r="B181" s="593">
        <f>ROUND(C181+D181+E181*2.9+F181*$H$1,0)</f>
        <v>1500</v>
      </c>
      <c r="C181" s="594">
        <f>C163</f>
        <v>750</v>
      </c>
      <c r="D181" s="594">
        <f>D163</f>
        <v>300</v>
      </c>
      <c r="E181" s="594">
        <f>E163</f>
        <v>155</v>
      </c>
      <c r="F181" s="560">
        <v>0</v>
      </c>
      <c r="G181" s="337">
        <f>G180-B180</f>
        <v>-841</v>
      </c>
      <c r="H181" s="337">
        <f>H180-C180</f>
        <v>0</v>
      </c>
      <c r="I181" s="337">
        <f>I180-D180</f>
        <v>0</v>
      </c>
      <c r="J181" s="337">
        <f>J180-E180</f>
        <v>-290</v>
      </c>
      <c r="K181" s="337">
        <f>K180-F180</f>
        <v>0</v>
      </c>
    </row>
    <row r="182" spans="1:6" ht="23.25" customHeight="1" hidden="1">
      <c r="A182" s="234"/>
      <c r="B182" s="245"/>
      <c r="C182" s="297"/>
      <c r="D182" s="298"/>
      <c r="E182" s="299"/>
      <c r="F182" s="342"/>
    </row>
    <row r="183" spans="1:6" ht="16.5" customHeight="1" hidden="1" thickBot="1">
      <c r="A183" s="243"/>
      <c r="B183" s="245"/>
      <c r="C183" s="300"/>
      <c r="D183" s="298"/>
      <c r="E183" s="299"/>
      <c r="F183" s="342"/>
    </row>
    <row r="184" spans="1:11" ht="18.75" customHeight="1" hidden="1" thickBot="1">
      <c r="A184" s="231"/>
      <c r="B184" s="233"/>
      <c r="C184" s="306"/>
      <c r="D184" s="306"/>
      <c r="E184" s="307"/>
      <c r="F184" s="552"/>
      <c r="H184" s="260"/>
      <c r="I184" s="260"/>
      <c r="J184" s="260"/>
      <c r="K184" s="260"/>
    </row>
    <row r="185" spans="1:11" ht="20.25" customHeight="1" hidden="1" thickBot="1">
      <c r="A185" s="688"/>
      <c r="B185" s="689"/>
      <c r="C185" s="689"/>
      <c r="D185" s="689"/>
      <c r="E185" s="690"/>
      <c r="F185" s="571"/>
      <c r="H185" s="260"/>
      <c r="I185" s="260"/>
      <c r="J185" s="260"/>
      <c r="K185" s="260"/>
    </row>
    <row r="186" spans="1:11" ht="18.75" customHeight="1" hidden="1">
      <c r="A186" s="242"/>
      <c r="B186" s="244"/>
      <c r="C186" s="318"/>
      <c r="D186" s="319"/>
      <c r="E186" s="320"/>
      <c r="F186" s="549"/>
      <c r="H186" s="260"/>
      <c r="I186" s="260"/>
      <c r="J186" s="260"/>
      <c r="K186" s="260"/>
    </row>
    <row r="187" spans="1:11" s="260" customFormat="1" ht="45" customHeight="1" hidden="1">
      <c r="A187" s="255"/>
      <c r="B187" s="256"/>
      <c r="C187" s="303"/>
      <c r="D187" s="304"/>
      <c r="E187" s="305"/>
      <c r="F187" s="553"/>
      <c r="G187" s="223"/>
      <c r="H187" s="223"/>
      <c r="I187" s="223"/>
      <c r="J187" s="223"/>
      <c r="K187" s="223"/>
    </row>
    <row r="188" spans="1:11" s="260" customFormat="1" ht="27.75" customHeight="1" hidden="1">
      <c r="A188" s="255"/>
      <c r="B188" s="256"/>
      <c r="C188" s="303"/>
      <c r="D188" s="304"/>
      <c r="E188" s="305"/>
      <c r="F188" s="553"/>
      <c r="G188" s="223"/>
      <c r="H188" s="223"/>
      <c r="I188" s="223"/>
      <c r="J188" s="223"/>
      <c r="K188" s="223"/>
    </row>
    <row r="189" spans="1:11" s="260" customFormat="1" ht="33.75" customHeight="1" hidden="1">
      <c r="A189" s="255"/>
      <c r="B189" s="256"/>
      <c r="C189" s="303"/>
      <c r="D189" s="304"/>
      <c r="E189" s="305"/>
      <c r="F189" s="553"/>
      <c r="G189" s="223"/>
      <c r="H189" s="223"/>
      <c r="I189" s="223"/>
      <c r="J189" s="223"/>
      <c r="K189" s="223"/>
    </row>
    <row r="190" spans="1:6" ht="21" customHeight="1" hidden="1">
      <c r="A190" s="242"/>
      <c r="B190" s="244"/>
      <c r="C190" s="318"/>
      <c r="D190" s="319"/>
      <c r="E190" s="320"/>
      <c r="F190" s="549"/>
    </row>
    <row r="191" spans="1:14" s="257" customFormat="1" ht="15.75" hidden="1" thickBot="1">
      <c r="A191" s="255"/>
      <c r="B191" s="256"/>
      <c r="C191" s="303"/>
      <c r="D191" s="304"/>
      <c r="E191" s="305"/>
      <c r="F191" s="553"/>
      <c r="G191" s="223"/>
      <c r="H191" s="223"/>
      <c r="I191" s="223"/>
      <c r="J191" s="223"/>
      <c r="K191" s="223"/>
      <c r="N191" s="258"/>
    </row>
    <row r="192" spans="1:14" s="257" customFormat="1" ht="15.75" hidden="1" thickBot="1">
      <c r="A192" s="255"/>
      <c r="B192" s="256"/>
      <c r="C192" s="303"/>
      <c r="D192" s="304"/>
      <c r="E192" s="305"/>
      <c r="F192" s="553"/>
      <c r="G192" s="223"/>
      <c r="H192" s="223"/>
      <c r="I192" s="223"/>
      <c r="J192" s="223"/>
      <c r="K192" s="223"/>
      <c r="N192" s="258"/>
    </row>
    <row r="193" spans="1:14" s="257" customFormat="1" ht="15.75" hidden="1" thickBot="1">
      <c r="A193" s="255"/>
      <c r="B193" s="256"/>
      <c r="C193" s="303"/>
      <c r="D193" s="304"/>
      <c r="E193" s="305"/>
      <c r="F193" s="553"/>
      <c r="G193" s="223"/>
      <c r="H193" s="223"/>
      <c r="I193" s="223"/>
      <c r="J193" s="223"/>
      <c r="K193" s="223"/>
      <c r="N193" s="258"/>
    </row>
    <row r="194" spans="1:14" s="257" customFormat="1" ht="15.75" hidden="1" thickBot="1">
      <c r="A194" s="255"/>
      <c r="B194" s="256"/>
      <c r="C194" s="303"/>
      <c r="D194" s="304"/>
      <c r="E194" s="305"/>
      <c r="F194" s="553"/>
      <c r="G194" s="337">
        <f>G193-B193</f>
        <v>0</v>
      </c>
      <c r="H194" s="337">
        <f>H193-C193</f>
        <v>0</v>
      </c>
      <c r="I194" s="337">
        <f>I193-D193</f>
        <v>0</v>
      </c>
      <c r="J194" s="337">
        <f>J193-E193</f>
        <v>0</v>
      </c>
      <c r="K194" s="337">
        <f>K193-F193</f>
        <v>0</v>
      </c>
      <c r="N194" s="258"/>
    </row>
    <row r="195" spans="1:6" ht="17.25" customHeight="1" hidden="1">
      <c r="A195" s="242"/>
      <c r="B195" s="244"/>
      <c r="C195" s="318"/>
      <c r="D195" s="316"/>
      <c r="E195" s="317"/>
      <c r="F195" s="554"/>
    </row>
    <row r="196" spans="1:6" ht="14.25" customHeight="1" hidden="1">
      <c r="A196" s="242"/>
      <c r="B196" s="244"/>
      <c r="C196" s="318"/>
      <c r="D196" s="316"/>
      <c r="E196" s="317"/>
      <c r="F196" s="554"/>
    </row>
    <row r="197" spans="1:6" ht="14.25" customHeight="1" hidden="1">
      <c r="A197" s="242"/>
      <c r="B197" s="244"/>
      <c r="C197" s="318"/>
      <c r="D197" s="316"/>
      <c r="E197" s="317"/>
      <c r="F197" s="554"/>
    </row>
    <row r="198" spans="1:6" ht="13.5" customHeight="1" hidden="1">
      <c r="A198" s="242"/>
      <c r="B198" s="244"/>
      <c r="C198" s="318"/>
      <c r="D198" s="316"/>
      <c r="E198" s="317"/>
      <c r="F198" s="554"/>
    </row>
    <row r="199" spans="1:6" ht="13.5" customHeight="1" hidden="1">
      <c r="A199" s="242"/>
      <c r="B199" s="244"/>
      <c r="C199" s="318"/>
      <c r="D199" s="316"/>
      <c r="E199" s="317"/>
      <c r="F199" s="554"/>
    </row>
    <row r="200" spans="1:6" ht="15.75" customHeight="1" hidden="1">
      <c r="A200" s="242"/>
      <c r="B200" s="244"/>
      <c r="C200" s="318"/>
      <c r="D200" s="319"/>
      <c r="E200" s="320"/>
      <c r="F200" s="549"/>
    </row>
    <row r="201" spans="1:6" ht="13.5" customHeight="1" hidden="1">
      <c r="A201" s="234"/>
      <c r="B201" s="244"/>
      <c r="C201" s="315"/>
      <c r="D201" s="316"/>
      <c r="E201" s="317"/>
      <c r="F201" s="554"/>
    </row>
    <row r="202" spans="1:6" ht="13.5" customHeight="1" hidden="1">
      <c r="A202" s="242"/>
      <c r="B202" s="244"/>
      <c r="C202" s="318"/>
      <c r="D202" s="316"/>
      <c r="E202" s="317"/>
      <c r="F202" s="554"/>
    </row>
    <row r="203" spans="1:6" ht="14.25" customHeight="1" hidden="1">
      <c r="A203" s="242"/>
      <c r="B203" s="244"/>
      <c r="C203" s="318"/>
      <c r="D203" s="316"/>
      <c r="E203" s="317"/>
      <c r="F203" s="554"/>
    </row>
    <row r="204" spans="1:6" ht="15" customHeight="1" hidden="1">
      <c r="A204" s="242"/>
      <c r="B204" s="244"/>
      <c r="C204" s="318"/>
      <c r="D204" s="316"/>
      <c r="E204" s="317"/>
      <c r="F204" s="554"/>
    </row>
    <row r="205" spans="1:6" ht="28.5" customHeight="1" hidden="1">
      <c r="A205" s="242"/>
      <c r="B205" s="244"/>
      <c r="C205" s="318"/>
      <c r="D205" s="316"/>
      <c r="E205" s="317"/>
      <c r="F205" s="554"/>
    </row>
    <row r="206" spans="1:7" s="237" customFormat="1" ht="15.75" hidden="1" thickBot="1">
      <c r="A206" s="247"/>
      <c r="B206" s="244"/>
      <c r="C206" s="308"/>
      <c r="D206" s="309"/>
      <c r="E206" s="321"/>
      <c r="F206" s="555"/>
      <c r="G206" s="223"/>
    </row>
    <row r="207" spans="1:8" ht="17.25" customHeight="1" hidden="1" thickBot="1">
      <c r="A207" s="231"/>
      <c r="B207" s="233"/>
      <c r="C207" s="306"/>
      <c r="D207" s="306"/>
      <c r="E207" s="307"/>
      <c r="F207" s="552"/>
      <c r="H207" s="224"/>
    </row>
    <row r="208" spans="1:6" ht="20.25" customHeight="1" hidden="1" thickBot="1">
      <c r="A208" s="688"/>
      <c r="B208" s="689"/>
      <c r="C208" s="689"/>
      <c r="D208" s="689"/>
      <c r="E208" s="690"/>
      <c r="F208" s="571"/>
    </row>
    <row r="209" spans="1:6" ht="18" customHeight="1" hidden="1">
      <c r="A209" s="242"/>
      <c r="B209" s="244"/>
      <c r="C209" s="318"/>
      <c r="D209" s="316"/>
      <c r="E209" s="317"/>
      <c r="F209" s="554"/>
    </row>
    <row r="210" spans="1:11" s="260" customFormat="1" ht="44.25" customHeight="1" hidden="1">
      <c r="A210" s="255"/>
      <c r="B210" s="256"/>
      <c r="C210" s="303"/>
      <c r="D210" s="304"/>
      <c r="E210" s="305"/>
      <c r="F210" s="553"/>
      <c r="G210" s="223"/>
      <c r="I210" s="261"/>
      <c r="J210" s="261"/>
      <c r="K210" s="261"/>
    </row>
    <row r="211" spans="1:11" s="260" customFormat="1" ht="31.5" customHeight="1" hidden="1">
      <c r="A211" s="255"/>
      <c r="B211" s="256"/>
      <c r="C211" s="303"/>
      <c r="D211" s="304"/>
      <c r="E211" s="305"/>
      <c r="F211" s="553"/>
      <c r="G211" s="223"/>
      <c r="I211" s="261"/>
      <c r="J211" s="261"/>
      <c r="K211" s="261"/>
    </row>
    <row r="212" spans="1:11" s="260" customFormat="1" ht="33" customHeight="1" hidden="1">
      <c r="A212" s="255"/>
      <c r="B212" s="256"/>
      <c r="C212" s="303"/>
      <c r="D212" s="304"/>
      <c r="E212" s="305"/>
      <c r="F212" s="553"/>
      <c r="G212" s="223"/>
      <c r="I212" s="261"/>
      <c r="J212" s="261"/>
      <c r="K212" s="261"/>
    </row>
    <row r="213" spans="1:6" ht="18" customHeight="1" hidden="1">
      <c r="A213" s="242"/>
      <c r="B213" s="244"/>
      <c r="C213" s="318"/>
      <c r="D213" s="316"/>
      <c r="E213" s="317"/>
      <c r="F213" s="554"/>
    </row>
    <row r="214" spans="1:14" s="257" customFormat="1" ht="15.75" hidden="1" thickBot="1">
      <c r="A214" s="255"/>
      <c r="B214" s="256"/>
      <c r="C214" s="303"/>
      <c r="D214" s="304"/>
      <c r="E214" s="305"/>
      <c r="F214" s="553"/>
      <c r="G214" s="223"/>
      <c r="H214" s="259"/>
      <c r="I214" s="258"/>
      <c r="J214" s="258"/>
      <c r="K214" s="258"/>
      <c r="N214" s="258"/>
    </row>
    <row r="215" spans="1:14" s="257" customFormat="1" ht="15.75" hidden="1" thickBot="1">
      <c r="A215" s="255"/>
      <c r="B215" s="256"/>
      <c r="C215" s="303"/>
      <c r="D215" s="304"/>
      <c r="E215" s="305"/>
      <c r="F215" s="553"/>
      <c r="G215" s="223"/>
      <c r="H215" s="259"/>
      <c r="I215" s="258"/>
      <c r="J215" s="258"/>
      <c r="K215" s="258"/>
      <c r="N215" s="258"/>
    </row>
    <row r="216" spans="1:14" s="257" customFormat="1" ht="15.75" hidden="1" thickBot="1">
      <c r="A216" s="255"/>
      <c r="B216" s="256"/>
      <c r="C216" s="303"/>
      <c r="D216" s="304"/>
      <c r="E216" s="305"/>
      <c r="F216" s="553"/>
      <c r="G216" s="223"/>
      <c r="H216" s="259"/>
      <c r="I216" s="258"/>
      <c r="J216" s="258"/>
      <c r="K216" s="258"/>
      <c r="N216" s="258"/>
    </row>
    <row r="217" spans="1:14" s="257" customFormat="1" ht="15.75" hidden="1" thickBot="1">
      <c r="A217" s="255"/>
      <c r="B217" s="256"/>
      <c r="C217" s="303"/>
      <c r="D217" s="304"/>
      <c r="E217" s="305"/>
      <c r="F217" s="553"/>
      <c r="G217" s="223"/>
      <c r="H217" s="259"/>
      <c r="I217" s="258"/>
      <c r="J217" s="258"/>
      <c r="K217" s="258"/>
      <c r="N217" s="258"/>
    </row>
    <row r="218" spans="1:6" ht="17.25" customHeight="1" hidden="1">
      <c r="A218" s="242"/>
      <c r="B218" s="244"/>
      <c r="C218" s="318"/>
      <c r="D218" s="316"/>
      <c r="E218" s="317"/>
      <c r="F218" s="554"/>
    </row>
    <row r="219" spans="1:6" ht="17.25" customHeight="1" hidden="1">
      <c r="A219" s="242"/>
      <c r="B219" s="244"/>
      <c r="C219" s="318"/>
      <c r="D219" s="316"/>
      <c r="E219" s="317"/>
      <c r="F219" s="554"/>
    </row>
    <row r="220" spans="1:6" ht="18.75" customHeight="1" hidden="1">
      <c r="A220" s="242"/>
      <c r="B220" s="244"/>
      <c r="C220" s="318"/>
      <c r="D220" s="316"/>
      <c r="E220" s="317"/>
      <c r="F220" s="554"/>
    </row>
    <row r="221" spans="1:6" ht="13.5" customHeight="1" hidden="1">
      <c r="A221" s="242"/>
      <c r="B221" s="244"/>
      <c r="C221" s="318"/>
      <c r="D221" s="316"/>
      <c r="E221" s="317"/>
      <c r="F221" s="554"/>
    </row>
    <row r="222" spans="1:6" ht="13.5" customHeight="1" hidden="1">
      <c r="A222" s="331"/>
      <c r="B222" s="244"/>
      <c r="C222" s="318"/>
      <c r="D222" s="316"/>
      <c r="E222" s="317"/>
      <c r="F222" s="554"/>
    </row>
    <row r="223" spans="1:6" ht="13.5" customHeight="1" hidden="1">
      <c r="A223" s="242"/>
      <c r="B223" s="244"/>
      <c r="C223" s="318"/>
      <c r="D223" s="316"/>
      <c r="E223" s="317"/>
      <c r="F223" s="554"/>
    </row>
    <row r="224" spans="1:6" ht="15.75" customHeight="1" hidden="1">
      <c r="A224" s="242"/>
      <c r="B224" s="244"/>
      <c r="C224" s="318"/>
      <c r="D224" s="319"/>
      <c r="E224" s="320"/>
      <c r="F224" s="549"/>
    </row>
    <row r="225" spans="1:6" ht="15" customHeight="1" hidden="1">
      <c r="A225" s="234"/>
      <c r="B225" s="244"/>
      <c r="C225" s="315"/>
      <c r="D225" s="316"/>
      <c r="E225" s="317"/>
      <c r="F225" s="554"/>
    </row>
    <row r="226" spans="1:6" ht="14.25" customHeight="1" hidden="1">
      <c r="A226" s="242"/>
      <c r="B226" s="244"/>
      <c r="C226" s="318"/>
      <c r="D226" s="316"/>
      <c r="E226" s="317"/>
      <c r="F226" s="554"/>
    </row>
    <row r="227" spans="1:7" s="237" customFormat="1" ht="28.5" customHeight="1" hidden="1" thickBot="1">
      <c r="A227" s="242"/>
      <c r="B227" s="244"/>
      <c r="C227" s="318"/>
      <c r="D227" s="316"/>
      <c r="E227" s="317"/>
      <c r="F227" s="554"/>
      <c r="G227" s="223"/>
    </row>
    <row r="228" spans="1:6" ht="18" customHeight="1" hidden="1" thickBot="1">
      <c r="A228" s="231"/>
      <c r="B228" s="233"/>
      <c r="C228" s="306"/>
      <c r="D228" s="306"/>
      <c r="E228" s="307"/>
      <c r="F228" s="552"/>
    </row>
    <row r="229" spans="1:6" ht="18.75" customHeight="1" hidden="1" thickBot="1">
      <c r="A229" s="704"/>
      <c r="B229" s="705"/>
      <c r="C229" s="705"/>
      <c r="D229" s="705"/>
      <c r="E229" s="706"/>
      <c r="F229" s="571"/>
    </row>
    <row r="230" spans="1:6" ht="18.75" customHeight="1" hidden="1">
      <c r="A230" s="264"/>
      <c r="B230" s="265"/>
      <c r="C230" s="322"/>
      <c r="D230" s="322"/>
      <c r="E230" s="323"/>
      <c r="F230" s="556"/>
    </row>
    <row r="231" spans="1:11" s="260" customFormat="1" ht="46.5" customHeight="1" hidden="1">
      <c r="A231" s="266"/>
      <c r="B231" s="263"/>
      <c r="C231" s="303"/>
      <c r="D231" s="303"/>
      <c r="E231" s="324"/>
      <c r="F231" s="548"/>
      <c r="G231" s="223"/>
      <c r="I231" s="261"/>
      <c r="J231" s="261"/>
      <c r="K231" s="261"/>
    </row>
    <row r="232" spans="1:11" s="260" customFormat="1" ht="29.25" customHeight="1" hidden="1">
      <c r="A232" s="266"/>
      <c r="B232" s="263"/>
      <c r="C232" s="303"/>
      <c r="D232" s="303"/>
      <c r="E232" s="324"/>
      <c r="F232" s="548"/>
      <c r="G232" s="223"/>
      <c r="I232" s="261"/>
      <c r="J232" s="261"/>
      <c r="K232" s="261"/>
    </row>
    <row r="233" spans="1:11" s="260" customFormat="1" ht="28.5" customHeight="1" hidden="1">
      <c r="A233" s="266"/>
      <c r="B233" s="263"/>
      <c r="C233" s="303"/>
      <c r="D233" s="303"/>
      <c r="E233" s="324"/>
      <c r="F233" s="548"/>
      <c r="G233" s="223"/>
      <c r="I233" s="261"/>
      <c r="J233" s="261"/>
      <c r="K233" s="261"/>
    </row>
    <row r="234" spans="1:6" ht="15.75" hidden="1" thickBot="1">
      <c r="A234" s="242"/>
      <c r="B234" s="244"/>
      <c r="C234" s="318"/>
      <c r="D234" s="318"/>
      <c r="E234" s="320"/>
      <c r="F234" s="549"/>
    </row>
    <row r="235" spans="1:14" s="257" customFormat="1" ht="15.75" hidden="1" thickBot="1">
      <c r="A235" s="266"/>
      <c r="B235" s="263"/>
      <c r="C235" s="303"/>
      <c r="D235" s="303"/>
      <c r="E235" s="324"/>
      <c r="F235" s="548"/>
      <c r="G235" s="223"/>
      <c r="H235" s="259"/>
      <c r="I235" s="258"/>
      <c r="J235" s="258"/>
      <c r="K235" s="258"/>
      <c r="N235" s="258"/>
    </row>
    <row r="236" spans="1:14" s="257" customFormat="1" ht="15.75" hidden="1" thickBot="1">
      <c r="A236" s="266"/>
      <c r="B236" s="263"/>
      <c r="C236" s="303"/>
      <c r="D236" s="303"/>
      <c r="E236" s="324"/>
      <c r="F236" s="548"/>
      <c r="G236" s="223"/>
      <c r="H236" s="259"/>
      <c r="I236" s="258"/>
      <c r="J236" s="258"/>
      <c r="K236" s="258"/>
      <c r="N236" s="258"/>
    </row>
    <row r="237" spans="1:14" s="257" customFormat="1" ht="15.75" hidden="1" thickBot="1">
      <c r="A237" s="266"/>
      <c r="B237" s="263"/>
      <c r="C237" s="303"/>
      <c r="D237" s="303"/>
      <c r="E237" s="324"/>
      <c r="F237" s="548"/>
      <c r="G237" s="223"/>
      <c r="H237" s="259"/>
      <c r="I237" s="258"/>
      <c r="J237" s="258"/>
      <c r="K237" s="258"/>
      <c r="N237" s="258"/>
    </row>
    <row r="238" spans="1:14" s="257" customFormat="1" ht="15.75" hidden="1" thickBot="1">
      <c r="A238" s="266"/>
      <c r="B238" s="263"/>
      <c r="C238" s="303"/>
      <c r="D238" s="303"/>
      <c r="E238" s="324"/>
      <c r="F238" s="548"/>
      <c r="G238" s="223"/>
      <c r="H238" s="259"/>
      <c r="I238" s="258"/>
      <c r="J238" s="258"/>
      <c r="K238" s="258"/>
      <c r="N238" s="258"/>
    </row>
    <row r="239" spans="1:6" ht="18.75" customHeight="1" hidden="1">
      <c r="A239" s="242"/>
      <c r="B239" s="244"/>
      <c r="C239" s="318"/>
      <c r="D239" s="318"/>
      <c r="E239" s="320"/>
      <c r="F239" s="549"/>
    </row>
    <row r="240" spans="1:6" ht="18.75" customHeight="1" hidden="1">
      <c r="A240" s="242"/>
      <c r="B240" s="244"/>
      <c r="C240" s="318"/>
      <c r="D240" s="318"/>
      <c r="E240" s="320"/>
      <c r="F240" s="549"/>
    </row>
    <row r="241" spans="1:6" ht="18.75" customHeight="1" hidden="1">
      <c r="A241" s="242"/>
      <c r="B241" s="244"/>
      <c r="C241" s="318"/>
      <c r="D241" s="318"/>
      <c r="E241" s="320"/>
      <c r="F241" s="549"/>
    </row>
    <row r="242" spans="1:6" ht="18.75" customHeight="1" hidden="1">
      <c r="A242" s="242"/>
      <c r="B242" s="244"/>
      <c r="C242" s="318"/>
      <c r="D242" s="318"/>
      <c r="E242" s="320"/>
      <c r="F242" s="549"/>
    </row>
    <row r="243" spans="1:6" ht="18.75" customHeight="1" hidden="1">
      <c r="A243" s="242"/>
      <c r="B243" s="244"/>
      <c r="C243" s="318"/>
      <c r="D243" s="318"/>
      <c r="E243" s="320"/>
      <c r="F243" s="549"/>
    </row>
    <row r="244" spans="1:6" ht="33.75" customHeight="1" hidden="1">
      <c r="A244" s="242"/>
      <c r="B244" s="244"/>
      <c r="C244" s="318"/>
      <c r="D244" s="318"/>
      <c r="E244" s="320"/>
      <c r="F244" s="549"/>
    </row>
    <row r="245" spans="1:6" ht="18.75" customHeight="1" hidden="1" thickBot="1">
      <c r="A245" s="267"/>
      <c r="B245" s="268"/>
      <c r="C245" s="314"/>
      <c r="D245" s="314"/>
      <c r="E245" s="321"/>
      <c r="F245" s="555"/>
    </row>
    <row r="246" spans="1:6" ht="18.75" customHeight="1" hidden="1" thickBot="1">
      <c r="A246" s="231"/>
      <c r="B246" s="233"/>
      <c r="C246" s="306"/>
      <c r="D246" s="306"/>
      <c r="E246" s="307"/>
      <c r="F246" s="552"/>
    </row>
    <row r="247" spans="1:6" ht="18.75" customHeight="1" hidden="1" thickBot="1">
      <c r="A247" s="688"/>
      <c r="B247" s="689"/>
      <c r="C247" s="689"/>
      <c r="D247" s="689"/>
      <c r="E247" s="690"/>
      <c r="F247" s="571"/>
    </row>
    <row r="248" spans="1:6" ht="13.5" customHeight="1" hidden="1">
      <c r="A248" s="227"/>
      <c r="B248" s="244"/>
      <c r="C248" s="315"/>
      <c r="D248" s="316"/>
      <c r="E248" s="317"/>
      <c r="F248" s="554"/>
    </row>
    <row r="249" spans="1:11" s="260" customFormat="1" ht="44.25" customHeight="1" hidden="1">
      <c r="A249" s="255"/>
      <c r="B249" s="256"/>
      <c r="C249" s="303"/>
      <c r="D249" s="304"/>
      <c r="E249" s="305"/>
      <c r="F249" s="553"/>
      <c r="G249" s="223"/>
      <c r="I249" s="261"/>
      <c r="J249" s="261"/>
      <c r="K249" s="261"/>
    </row>
    <row r="250" spans="1:11" s="260" customFormat="1" ht="31.5" customHeight="1" hidden="1">
      <c r="A250" s="255"/>
      <c r="B250" s="256"/>
      <c r="C250" s="303"/>
      <c r="D250" s="304"/>
      <c r="E250" s="305"/>
      <c r="F250" s="553"/>
      <c r="G250" s="223"/>
      <c r="I250" s="261"/>
      <c r="J250" s="261"/>
      <c r="K250" s="261"/>
    </row>
    <row r="251" spans="1:11" s="260" customFormat="1" ht="33" customHeight="1" hidden="1">
      <c r="A251" s="255"/>
      <c r="B251" s="256"/>
      <c r="C251" s="303"/>
      <c r="D251" s="304"/>
      <c r="E251" s="305"/>
      <c r="F251" s="553"/>
      <c r="G251" s="223"/>
      <c r="I251" s="261"/>
      <c r="J251" s="261"/>
      <c r="K251" s="261"/>
    </row>
    <row r="252" spans="1:6" ht="19.5" customHeight="1" hidden="1">
      <c r="A252" s="228"/>
      <c r="B252" s="244"/>
      <c r="C252" s="318"/>
      <c r="D252" s="316"/>
      <c r="E252" s="317"/>
      <c r="F252" s="554"/>
    </row>
    <row r="253" spans="1:6" ht="19.5" customHeight="1" hidden="1">
      <c r="A253" s="228"/>
      <c r="B253" s="244"/>
      <c r="C253" s="318"/>
      <c r="D253" s="316"/>
      <c r="E253" s="317"/>
      <c r="F253" s="554"/>
    </row>
    <row r="254" spans="1:14" s="257" customFormat="1" ht="15.75" hidden="1" thickBot="1">
      <c r="A254" s="255"/>
      <c r="B254" s="256"/>
      <c r="C254" s="303"/>
      <c r="D254" s="304"/>
      <c r="E254" s="305"/>
      <c r="F254" s="553"/>
      <c r="G254" s="223"/>
      <c r="H254" s="259"/>
      <c r="I254" s="258"/>
      <c r="J254" s="258"/>
      <c r="K254" s="258"/>
      <c r="N254" s="258"/>
    </row>
    <row r="255" spans="1:14" s="257" customFormat="1" ht="15.75" hidden="1" thickBot="1">
      <c r="A255" s="255"/>
      <c r="B255" s="256"/>
      <c r="C255" s="303"/>
      <c r="D255" s="304"/>
      <c r="E255" s="305"/>
      <c r="F255" s="553"/>
      <c r="G255" s="223"/>
      <c r="H255" s="259"/>
      <c r="I255" s="258"/>
      <c r="J255" s="258"/>
      <c r="K255" s="258"/>
      <c r="N255" s="258"/>
    </row>
    <row r="256" spans="1:14" s="257" customFormat="1" ht="15.75" hidden="1" thickBot="1">
      <c r="A256" s="255"/>
      <c r="B256" s="256"/>
      <c r="C256" s="303"/>
      <c r="D256" s="304"/>
      <c r="E256" s="305"/>
      <c r="F256" s="553"/>
      <c r="G256" s="223"/>
      <c r="H256" s="259"/>
      <c r="I256" s="258"/>
      <c r="J256" s="258"/>
      <c r="K256" s="258"/>
      <c r="N256" s="258"/>
    </row>
    <row r="257" spans="1:14" s="257" customFormat="1" ht="15.75" hidden="1" thickBot="1">
      <c r="A257" s="255"/>
      <c r="B257" s="256"/>
      <c r="C257" s="303"/>
      <c r="D257" s="304"/>
      <c r="E257" s="305"/>
      <c r="F257" s="553"/>
      <c r="G257" s="223"/>
      <c r="H257" s="259"/>
      <c r="I257" s="258"/>
      <c r="J257" s="258"/>
      <c r="K257" s="258"/>
      <c r="N257" s="258"/>
    </row>
    <row r="258" spans="1:6" ht="13.5" customHeight="1" hidden="1">
      <c r="A258" s="228"/>
      <c r="B258" s="244"/>
      <c r="C258" s="318"/>
      <c r="D258" s="316"/>
      <c r="E258" s="317"/>
      <c r="F258" s="554"/>
    </row>
    <row r="259" spans="1:6" ht="13.5" customHeight="1" hidden="1">
      <c r="A259" s="242"/>
      <c r="B259" s="244"/>
      <c r="C259" s="318"/>
      <c r="D259" s="316"/>
      <c r="E259" s="317"/>
      <c r="F259" s="554"/>
    </row>
    <row r="260" spans="1:6" ht="13.5" customHeight="1" hidden="1">
      <c r="A260" s="242"/>
      <c r="B260" s="244"/>
      <c r="C260" s="318"/>
      <c r="D260" s="316"/>
      <c r="E260" s="317"/>
      <c r="F260" s="554"/>
    </row>
    <row r="261" spans="1:7" s="250" customFormat="1" ht="12.75" customHeight="1" hidden="1">
      <c r="A261" s="248"/>
      <c r="B261" s="249"/>
      <c r="C261" s="318"/>
      <c r="D261" s="316"/>
      <c r="E261" s="317"/>
      <c r="F261" s="554"/>
      <c r="G261" s="223"/>
    </row>
    <row r="262" spans="1:6" ht="17.25" customHeight="1" hidden="1">
      <c r="A262" s="242"/>
      <c r="B262" s="244"/>
      <c r="C262" s="318"/>
      <c r="D262" s="316"/>
      <c r="E262" s="317"/>
      <c r="F262" s="554"/>
    </row>
    <row r="263" spans="1:6" ht="27.75" customHeight="1" hidden="1">
      <c r="A263" s="228"/>
      <c r="B263" s="244"/>
      <c r="C263" s="318"/>
      <c r="D263" s="316"/>
      <c r="E263" s="317"/>
      <c r="F263" s="554"/>
    </row>
    <row r="264" spans="1:6" ht="15.75" hidden="1" thickBot="1">
      <c r="A264" s="234"/>
      <c r="B264" s="244"/>
      <c r="C264" s="318"/>
      <c r="D264" s="316"/>
      <c r="E264" s="317"/>
      <c r="F264" s="554"/>
    </row>
    <row r="265" spans="1:6" ht="21" customHeight="1" hidden="1" thickBot="1">
      <c r="A265" s="231"/>
      <c r="B265" s="233"/>
      <c r="C265" s="306"/>
      <c r="D265" s="306"/>
      <c r="E265" s="307"/>
      <c r="F265" s="552"/>
    </row>
    <row r="266" spans="1:6" ht="17.25" customHeight="1" hidden="1" thickBot="1">
      <c r="A266" s="688"/>
      <c r="B266" s="689"/>
      <c r="C266" s="689"/>
      <c r="D266" s="689"/>
      <c r="E266" s="690"/>
      <c r="F266" s="571"/>
    </row>
    <row r="267" spans="1:6" ht="13.5" customHeight="1" hidden="1">
      <c r="A267" s="242"/>
      <c r="B267" s="244"/>
      <c r="C267" s="318"/>
      <c r="D267" s="316"/>
      <c r="E267" s="317"/>
      <c r="F267" s="554"/>
    </row>
    <row r="268" spans="1:11" s="260" customFormat="1" ht="42" customHeight="1" hidden="1">
      <c r="A268" s="255"/>
      <c r="B268" s="256"/>
      <c r="C268" s="303"/>
      <c r="D268" s="304"/>
      <c r="E268" s="305"/>
      <c r="F268" s="553"/>
      <c r="G268" s="223"/>
      <c r="I268" s="261"/>
      <c r="J268" s="261"/>
      <c r="K268" s="261"/>
    </row>
    <row r="269" spans="1:11" s="260" customFormat="1" ht="31.5" customHeight="1" hidden="1">
      <c r="A269" s="255"/>
      <c r="B269" s="256"/>
      <c r="C269" s="303"/>
      <c r="D269" s="304"/>
      <c r="E269" s="305"/>
      <c r="F269" s="553"/>
      <c r="G269" s="223"/>
      <c r="I269" s="261"/>
      <c r="J269" s="261"/>
      <c r="K269" s="261"/>
    </row>
    <row r="270" spans="1:11" s="260" customFormat="1" ht="33" customHeight="1" hidden="1">
      <c r="A270" s="255"/>
      <c r="B270" s="256"/>
      <c r="C270" s="303"/>
      <c r="D270" s="304"/>
      <c r="E270" s="305"/>
      <c r="F270" s="553"/>
      <c r="G270" s="223"/>
      <c r="I270" s="261"/>
      <c r="J270" s="261"/>
      <c r="K270" s="261"/>
    </row>
    <row r="271" spans="1:6" ht="19.5" customHeight="1" hidden="1">
      <c r="A271" s="229"/>
      <c r="B271" s="244"/>
      <c r="C271" s="318"/>
      <c r="D271" s="316"/>
      <c r="E271" s="317"/>
      <c r="F271" s="554"/>
    </row>
    <row r="272" spans="1:14" s="257" customFormat="1" ht="15.75" hidden="1" thickBot="1">
      <c r="A272" s="255"/>
      <c r="B272" s="256"/>
      <c r="C272" s="303"/>
      <c r="D272" s="304"/>
      <c r="E272" s="305"/>
      <c r="F272" s="553"/>
      <c r="G272" s="223"/>
      <c r="H272" s="259"/>
      <c r="I272" s="258"/>
      <c r="J272" s="258"/>
      <c r="K272" s="258"/>
      <c r="N272" s="258"/>
    </row>
    <row r="273" spans="1:14" s="257" customFormat="1" ht="15.75" hidden="1" thickBot="1">
      <c r="A273" s="255"/>
      <c r="B273" s="256"/>
      <c r="C273" s="303"/>
      <c r="D273" s="304"/>
      <c r="E273" s="305"/>
      <c r="F273" s="553"/>
      <c r="G273" s="223"/>
      <c r="H273" s="259"/>
      <c r="I273" s="258"/>
      <c r="J273" s="258"/>
      <c r="K273" s="258"/>
      <c r="N273" s="258"/>
    </row>
    <row r="274" spans="1:14" s="257" customFormat="1" ht="15.75" hidden="1" thickBot="1">
      <c r="A274" s="255"/>
      <c r="B274" s="256"/>
      <c r="C274" s="303"/>
      <c r="D274" s="304"/>
      <c r="E274" s="305"/>
      <c r="F274" s="553"/>
      <c r="G274" s="223"/>
      <c r="H274" s="259"/>
      <c r="I274" s="258"/>
      <c r="J274" s="258"/>
      <c r="K274" s="258"/>
      <c r="N274" s="258"/>
    </row>
    <row r="275" spans="1:14" s="257" customFormat="1" ht="15.75" hidden="1" thickBot="1">
      <c r="A275" s="255"/>
      <c r="B275" s="256"/>
      <c r="C275" s="303"/>
      <c r="D275" s="304"/>
      <c r="E275" s="305"/>
      <c r="F275" s="553"/>
      <c r="G275" s="223"/>
      <c r="H275" s="259"/>
      <c r="I275" s="258"/>
      <c r="J275" s="258"/>
      <c r="K275" s="258"/>
      <c r="N275" s="258"/>
    </row>
    <row r="276" spans="1:6" ht="15.75" customHeight="1" hidden="1">
      <c r="A276" s="242"/>
      <c r="B276" s="244"/>
      <c r="C276" s="318"/>
      <c r="D276" s="316"/>
      <c r="E276" s="317"/>
      <c r="F276" s="554"/>
    </row>
    <row r="277" spans="1:6" ht="13.5" customHeight="1" hidden="1">
      <c r="A277" s="242"/>
      <c r="B277" s="244"/>
      <c r="C277" s="318"/>
      <c r="D277" s="316"/>
      <c r="E277" s="317"/>
      <c r="F277" s="554"/>
    </row>
    <row r="278" spans="1:6" ht="13.5" customHeight="1" hidden="1">
      <c r="A278" s="242"/>
      <c r="B278" s="244"/>
      <c r="C278" s="318"/>
      <c r="D278" s="316"/>
      <c r="E278" s="317"/>
      <c r="F278" s="554"/>
    </row>
    <row r="279" spans="1:6" ht="13.5" customHeight="1" hidden="1">
      <c r="A279" s="242"/>
      <c r="B279" s="244"/>
      <c r="C279" s="318"/>
      <c r="D279" s="316"/>
      <c r="E279" s="317"/>
      <c r="F279" s="554"/>
    </row>
    <row r="280" spans="1:6" ht="13.5" customHeight="1" hidden="1">
      <c r="A280" s="242"/>
      <c r="B280" s="244"/>
      <c r="C280" s="318"/>
      <c r="D280" s="316"/>
      <c r="E280" s="317"/>
      <c r="F280" s="554"/>
    </row>
    <row r="281" spans="1:6" ht="14.25" customHeight="1" hidden="1">
      <c r="A281" s="242"/>
      <c r="B281" s="244"/>
      <c r="C281" s="318"/>
      <c r="D281" s="316"/>
      <c r="E281" s="317"/>
      <c r="F281" s="554"/>
    </row>
    <row r="282" spans="1:6" ht="13.5" customHeight="1" hidden="1">
      <c r="A282" s="234"/>
      <c r="B282" s="244"/>
      <c r="C282" s="315"/>
      <c r="D282" s="316"/>
      <c r="E282" s="317"/>
      <c r="F282" s="554"/>
    </row>
    <row r="283" spans="1:6" ht="13.5" customHeight="1" hidden="1">
      <c r="A283" s="242"/>
      <c r="B283" s="244"/>
      <c r="C283" s="318"/>
      <c r="D283" s="316"/>
      <c r="E283" s="317"/>
      <c r="F283" s="554"/>
    </row>
    <row r="284" spans="1:6" ht="14.25" customHeight="1" hidden="1">
      <c r="A284" s="242"/>
      <c r="B284" s="244"/>
      <c r="C284" s="318"/>
      <c r="D284" s="316"/>
      <c r="E284" s="317"/>
      <c r="F284" s="554"/>
    </row>
    <row r="285" spans="1:6" ht="18.75" customHeight="1" hidden="1">
      <c r="A285" s="242"/>
      <c r="B285" s="244"/>
      <c r="C285" s="318"/>
      <c r="D285" s="316"/>
      <c r="E285" s="317"/>
      <c r="F285" s="554"/>
    </row>
    <row r="286" spans="1:6" ht="15.75" hidden="1" thickBot="1">
      <c r="A286" s="242"/>
      <c r="B286" s="244"/>
      <c r="C286" s="318"/>
      <c r="D286" s="316"/>
      <c r="E286" s="317"/>
      <c r="F286" s="554"/>
    </row>
    <row r="287" spans="1:6" ht="20.25" customHeight="1" hidden="1" thickBot="1">
      <c r="A287" s="231"/>
      <c r="B287" s="233"/>
      <c r="C287" s="306"/>
      <c r="D287" s="306"/>
      <c r="E287" s="307"/>
      <c r="F287" s="552"/>
    </row>
    <row r="288" spans="1:6" ht="18.75" customHeight="1" hidden="1" thickBot="1">
      <c r="A288" s="688"/>
      <c r="B288" s="689"/>
      <c r="C288" s="689"/>
      <c r="D288" s="689"/>
      <c r="E288" s="690"/>
      <c r="F288" s="571"/>
    </row>
    <row r="289" spans="1:6" ht="20.25" customHeight="1" hidden="1">
      <c r="A289" s="242"/>
      <c r="B289" s="244"/>
      <c r="C289" s="318"/>
      <c r="D289" s="316"/>
      <c r="E289" s="317"/>
      <c r="F289" s="554"/>
    </row>
    <row r="290" spans="1:11" s="260" customFormat="1" ht="45" customHeight="1" hidden="1">
      <c r="A290" s="255"/>
      <c r="B290" s="256"/>
      <c r="C290" s="303"/>
      <c r="D290" s="304"/>
      <c r="E290" s="305"/>
      <c r="F290" s="553"/>
      <c r="G290" s="223"/>
      <c r="I290" s="261"/>
      <c r="J290" s="261"/>
      <c r="K290" s="261"/>
    </row>
    <row r="291" spans="1:11" s="260" customFormat="1" ht="29.25" customHeight="1" hidden="1">
      <c r="A291" s="255"/>
      <c r="B291" s="256"/>
      <c r="C291" s="303"/>
      <c r="D291" s="304"/>
      <c r="E291" s="305"/>
      <c r="F291" s="553"/>
      <c r="G291" s="223"/>
      <c r="I291" s="261"/>
      <c r="J291" s="261"/>
      <c r="K291" s="261"/>
    </row>
    <row r="292" spans="1:11" s="260" customFormat="1" ht="29.25" customHeight="1" hidden="1">
      <c r="A292" s="255"/>
      <c r="B292" s="256"/>
      <c r="C292" s="303"/>
      <c r="D292" s="304"/>
      <c r="E292" s="305"/>
      <c r="F292" s="553"/>
      <c r="G292" s="223"/>
      <c r="I292" s="261"/>
      <c r="J292" s="261"/>
      <c r="K292" s="261"/>
    </row>
    <row r="293" spans="1:6" ht="20.25" customHeight="1" hidden="1">
      <c r="A293" s="242"/>
      <c r="B293" s="244"/>
      <c r="C293" s="318"/>
      <c r="D293" s="316"/>
      <c r="E293" s="317"/>
      <c r="F293" s="554"/>
    </row>
    <row r="294" spans="1:14" s="257" customFormat="1" ht="15.75" hidden="1" thickBot="1">
      <c r="A294" s="255"/>
      <c r="B294" s="256"/>
      <c r="C294" s="303"/>
      <c r="D294" s="304"/>
      <c r="E294" s="305"/>
      <c r="F294" s="553"/>
      <c r="G294" s="223"/>
      <c r="H294" s="259"/>
      <c r="I294" s="258"/>
      <c r="J294" s="258"/>
      <c r="K294" s="258"/>
      <c r="N294" s="258"/>
    </row>
    <row r="295" spans="1:14" s="257" customFormat="1" ht="15.75" hidden="1" thickBot="1">
      <c r="A295" s="255"/>
      <c r="B295" s="256"/>
      <c r="C295" s="303"/>
      <c r="D295" s="304"/>
      <c r="E295" s="305"/>
      <c r="F295" s="553"/>
      <c r="G295" s="223"/>
      <c r="H295" s="259"/>
      <c r="I295" s="258"/>
      <c r="J295" s="258"/>
      <c r="K295" s="258"/>
      <c r="N295" s="258"/>
    </row>
    <row r="296" spans="1:14" s="257" customFormat="1" ht="15.75" hidden="1" thickBot="1">
      <c r="A296" s="255"/>
      <c r="B296" s="256"/>
      <c r="C296" s="303"/>
      <c r="D296" s="304"/>
      <c r="E296" s="305"/>
      <c r="F296" s="553"/>
      <c r="G296" s="223"/>
      <c r="H296" s="259"/>
      <c r="I296" s="258"/>
      <c r="J296" s="258"/>
      <c r="K296" s="258"/>
      <c r="N296" s="258"/>
    </row>
    <row r="297" spans="1:14" s="257" customFormat="1" ht="15.75" hidden="1" thickBot="1">
      <c r="A297" s="255"/>
      <c r="B297" s="256"/>
      <c r="C297" s="303"/>
      <c r="D297" s="304"/>
      <c r="E297" s="305"/>
      <c r="F297" s="553"/>
      <c r="G297" s="223"/>
      <c r="H297" s="259"/>
      <c r="I297" s="258"/>
      <c r="J297" s="258"/>
      <c r="K297" s="258"/>
      <c r="N297" s="258"/>
    </row>
    <row r="298" spans="1:6" ht="13.5" customHeight="1" hidden="1">
      <c r="A298" s="242"/>
      <c r="B298" s="244"/>
      <c r="C298" s="318"/>
      <c r="D298" s="316"/>
      <c r="E298" s="317"/>
      <c r="F298" s="554"/>
    </row>
    <row r="299" spans="1:6" ht="13.5" customHeight="1" hidden="1">
      <c r="A299" s="242"/>
      <c r="B299" s="244"/>
      <c r="C299" s="318"/>
      <c r="D299" s="316"/>
      <c r="E299" s="317"/>
      <c r="F299" s="554"/>
    </row>
    <row r="300" spans="1:6" ht="13.5" customHeight="1" hidden="1">
      <c r="A300" s="242"/>
      <c r="B300" s="244"/>
      <c r="C300" s="318"/>
      <c r="D300" s="316"/>
      <c r="E300" s="317"/>
      <c r="F300" s="554"/>
    </row>
    <row r="301" spans="1:6" ht="13.5" customHeight="1" hidden="1">
      <c r="A301" s="242"/>
      <c r="B301" s="244"/>
      <c r="C301" s="318"/>
      <c r="D301" s="316"/>
      <c r="E301" s="317"/>
      <c r="F301" s="554"/>
    </row>
    <row r="302" spans="1:6" ht="13.5" customHeight="1" hidden="1">
      <c r="A302" s="242"/>
      <c r="B302" s="244"/>
      <c r="C302" s="318"/>
      <c r="D302" s="316"/>
      <c r="E302" s="317"/>
      <c r="F302" s="554"/>
    </row>
    <row r="303" spans="1:6" ht="15" customHeight="1" hidden="1">
      <c r="A303" s="242"/>
      <c r="B303" s="244"/>
      <c r="C303" s="318"/>
      <c r="D303" s="316"/>
      <c r="E303" s="317"/>
      <c r="F303" s="554"/>
    </row>
    <row r="304" spans="1:6" ht="16.5" customHeight="1" hidden="1">
      <c r="A304" s="242"/>
      <c r="B304" s="244"/>
      <c r="C304" s="318"/>
      <c r="D304" s="316"/>
      <c r="E304" s="317"/>
      <c r="F304" s="554"/>
    </row>
    <row r="305" spans="1:6" ht="29.25" customHeight="1" hidden="1">
      <c r="A305" s="234"/>
      <c r="B305" s="244"/>
      <c r="C305" s="315"/>
      <c r="D305" s="316"/>
      <c r="E305" s="317"/>
      <c r="F305" s="554"/>
    </row>
    <row r="306" spans="1:6" ht="15.75" hidden="1" thickBot="1">
      <c r="A306" s="251"/>
      <c r="B306" s="244"/>
      <c r="C306" s="318"/>
      <c r="D306" s="316"/>
      <c r="E306" s="317"/>
      <c r="F306" s="554"/>
    </row>
    <row r="307" spans="1:6" ht="24" customHeight="1" hidden="1" thickBot="1">
      <c r="A307" s="231"/>
      <c r="B307" s="233"/>
      <c r="C307" s="306"/>
      <c r="D307" s="306"/>
      <c r="E307" s="307"/>
      <c r="F307" s="552"/>
    </row>
    <row r="308" spans="1:6" ht="18" customHeight="1" hidden="1" thickBot="1">
      <c r="A308" s="688"/>
      <c r="B308" s="689"/>
      <c r="C308" s="689"/>
      <c r="D308" s="689"/>
      <c r="E308" s="690"/>
      <c r="F308" s="571"/>
    </row>
    <row r="309" spans="1:6" ht="13.5" customHeight="1" hidden="1">
      <c r="A309" s="242"/>
      <c r="B309" s="244"/>
      <c r="C309" s="325"/>
      <c r="D309" s="326"/>
      <c r="E309" s="327"/>
      <c r="F309" s="557"/>
    </row>
    <row r="310" spans="1:11" s="260" customFormat="1" ht="46.5" customHeight="1" hidden="1">
      <c r="A310" s="255"/>
      <c r="B310" s="256"/>
      <c r="C310" s="303"/>
      <c r="D310" s="304"/>
      <c r="E310" s="305"/>
      <c r="F310" s="553"/>
      <c r="G310" s="223"/>
      <c r="I310" s="261"/>
      <c r="J310" s="261"/>
      <c r="K310" s="261"/>
    </row>
    <row r="311" spans="1:11" s="260" customFormat="1" ht="31.5" customHeight="1" hidden="1">
      <c r="A311" s="255"/>
      <c r="B311" s="256"/>
      <c r="C311" s="303"/>
      <c r="D311" s="304"/>
      <c r="E311" s="305"/>
      <c r="F311" s="553"/>
      <c r="G311" s="223"/>
      <c r="I311" s="261"/>
      <c r="J311" s="261"/>
      <c r="K311" s="261"/>
    </row>
    <row r="312" spans="1:11" s="260" customFormat="1" ht="33" customHeight="1" hidden="1">
      <c r="A312" s="255"/>
      <c r="B312" s="256"/>
      <c r="C312" s="303"/>
      <c r="D312" s="304"/>
      <c r="E312" s="305"/>
      <c r="F312" s="553"/>
      <c r="G312" s="223"/>
      <c r="I312" s="261"/>
      <c r="J312" s="261"/>
      <c r="K312" s="261"/>
    </row>
    <row r="313" spans="1:6" ht="16.5" customHeight="1" hidden="1">
      <c r="A313" s="229"/>
      <c r="B313" s="244"/>
      <c r="C313" s="325"/>
      <c r="D313" s="316"/>
      <c r="E313" s="317"/>
      <c r="F313" s="554"/>
    </row>
    <row r="314" spans="1:14" s="257" customFormat="1" ht="15.75" hidden="1" thickBot="1">
      <c r="A314" s="255"/>
      <c r="B314" s="256"/>
      <c r="C314" s="303"/>
      <c r="D314" s="304"/>
      <c r="E314" s="305"/>
      <c r="F314" s="553"/>
      <c r="G314" s="223"/>
      <c r="H314" s="259"/>
      <c r="I314" s="258"/>
      <c r="J314" s="258"/>
      <c r="K314" s="258"/>
      <c r="N314" s="258"/>
    </row>
    <row r="315" spans="1:14" s="257" customFormat="1" ht="15.75" hidden="1" thickBot="1">
      <c r="A315" s="255"/>
      <c r="B315" s="256"/>
      <c r="C315" s="303"/>
      <c r="D315" s="304"/>
      <c r="E315" s="305"/>
      <c r="F315" s="553"/>
      <c r="G315" s="223"/>
      <c r="H315" s="259"/>
      <c r="I315" s="258"/>
      <c r="J315" s="258"/>
      <c r="K315" s="258"/>
      <c r="N315" s="258"/>
    </row>
    <row r="316" spans="1:14" s="257" customFormat="1" ht="15.75" hidden="1" thickBot="1">
      <c r="A316" s="255"/>
      <c r="B316" s="256"/>
      <c r="C316" s="303"/>
      <c r="D316" s="304"/>
      <c r="E316" s="305"/>
      <c r="F316" s="553"/>
      <c r="G316" s="223"/>
      <c r="H316" s="259"/>
      <c r="I316" s="258"/>
      <c r="J316" s="258"/>
      <c r="K316" s="258"/>
      <c r="N316" s="258"/>
    </row>
    <row r="317" spans="1:14" s="257" customFormat="1" ht="15.75" hidden="1" thickBot="1">
      <c r="A317" s="255"/>
      <c r="B317" s="256"/>
      <c r="C317" s="303"/>
      <c r="D317" s="304"/>
      <c r="E317" s="305"/>
      <c r="F317" s="553"/>
      <c r="G317" s="223"/>
      <c r="H317" s="259"/>
      <c r="I317" s="258"/>
      <c r="J317" s="258"/>
      <c r="K317" s="258"/>
      <c r="N317" s="258"/>
    </row>
    <row r="318" spans="1:6" ht="13.5" customHeight="1" hidden="1">
      <c r="A318" s="242"/>
      <c r="B318" s="244"/>
      <c r="C318" s="325"/>
      <c r="D318" s="326"/>
      <c r="E318" s="327"/>
      <c r="F318" s="557"/>
    </row>
    <row r="319" spans="1:6" ht="13.5" customHeight="1" hidden="1">
      <c r="A319" s="229"/>
      <c r="B319" s="244"/>
      <c r="C319" s="325"/>
      <c r="D319" s="326"/>
      <c r="E319" s="327"/>
      <c r="F319" s="557"/>
    </row>
    <row r="320" spans="1:6" ht="15.75" customHeight="1" hidden="1">
      <c r="A320" s="229"/>
      <c r="B320" s="244"/>
      <c r="C320" s="325"/>
      <c r="D320" s="326"/>
      <c r="E320" s="327"/>
      <c r="F320" s="557"/>
    </row>
    <row r="321" spans="1:6" ht="13.5" customHeight="1" hidden="1">
      <c r="A321" s="229"/>
      <c r="B321" s="244"/>
      <c r="C321" s="325"/>
      <c r="D321" s="326"/>
      <c r="E321" s="327"/>
      <c r="F321" s="557"/>
    </row>
    <row r="322" spans="1:6" ht="13.5" customHeight="1" hidden="1">
      <c r="A322" s="229"/>
      <c r="B322" s="244"/>
      <c r="C322" s="325"/>
      <c r="D322" s="326"/>
      <c r="E322" s="327"/>
      <c r="F322" s="557"/>
    </row>
    <row r="323" spans="1:6" ht="13.5" customHeight="1" hidden="1">
      <c r="A323" s="229"/>
      <c r="B323" s="244"/>
      <c r="C323" s="325"/>
      <c r="D323" s="326"/>
      <c r="E323" s="327"/>
      <c r="F323" s="557"/>
    </row>
    <row r="324" spans="1:6" ht="14.25" customHeight="1" hidden="1">
      <c r="A324" s="229"/>
      <c r="B324" s="244"/>
      <c r="C324" s="325"/>
      <c r="D324" s="326"/>
      <c r="E324" s="327"/>
      <c r="F324" s="557"/>
    </row>
    <row r="325" spans="1:6" ht="13.5" customHeight="1" hidden="1">
      <c r="A325" s="226"/>
      <c r="B325" s="244"/>
      <c r="C325" s="300"/>
      <c r="D325" s="326"/>
      <c r="E325" s="327"/>
      <c r="F325" s="557"/>
    </row>
    <row r="326" spans="1:6" ht="13.5" customHeight="1" hidden="1">
      <c r="A326" s="242"/>
      <c r="B326" s="244"/>
      <c r="C326" s="325"/>
      <c r="D326" s="326"/>
      <c r="E326" s="327"/>
      <c r="F326" s="557"/>
    </row>
    <row r="327" spans="1:6" ht="13.5" customHeight="1" hidden="1">
      <c r="A327" s="242"/>
      <c r="B327" s="244"/>
      <c r="C327" s="326"/>
      <c r="D327" s="326"/>
      <c r="E327" s="327"/>
      <c r="F327" s="557"/>
    </row>
    <row r="328" spans="1:6" ht="13.5" customHeight="1" hidden="1">
      <c r="A328" s="229"/>
      <c r="B328" s="244"/>
      <c r="C328" s="326"/>
      <c r="D328" s="326"/>
      <c r="E328" s="327"/>
      <c r="F328" s="557"/>
    </row>
    <row r="329" spans="1:6" ht="13.5" customHeight="1" hidden="1">
      <c r="A329" s="229"/>
      <c r="B329" s="244"/>
      <c r="C329" s="325"/>
      <c r="D329" s="326"/>
      <c r="E329" s="327"/>
      <c r="F329" s="557"/>
    </row>
    <row r="330" spans="1:6" ht="15.75" hidden="1" thickBot="1">
      <c r="A330" s="234"/>
      <c r="B330" s="244"/>
      <c r="C330" s="300"/>
      <c r="D330" s="298"/>
      <c r="E330" s="299"/>
      <c r="F330" s="342"/>
    </row>
    <row r="331" spans="1:6" ht="18" customHeight="1" hidden="1" thickBot="1">
      <c r="A331" s="231"/>
      <c r="B331" s="233"/>
      <c r="C331" s="306"/>
      <c r="D331" s="306"/>
      <c r="E331" s="307"/>
      <c r="F331" s="552"/>
    </row>
    <row r="332" spans="1:6" ht="15.75" customHeight="1" hidden="1" thickBot="1">
      <c r="A332" s="688"/>
      <c r="B332" s="689"/>
      <c r="C332" s="689"/>
      <c r="D332" s="689"/>
      <c r="E332" s="690"/>
      <c r="F332" s="571"/>
    </row>
    <row r="333" spans="1:6" ht="13.5" customHeight="1" hidden="1">
      <c r="A333" s="242"/>
      <c r="B333" s="244"/>
      <c r="C333" s="318"/>
      <c r="D333" s="316"/>
      <c r="E333" s="317"/>
      <c r="F333" s="554"/>
    </row>
    <row r="334" spans="1:11" s="260" customFormat="1" ht="45.75" customHeight="1" hidden="1">
      <c r="A334" s="255"/>
      <c r="B334" s="256"/>
      <c r="C334" s="303"/>
      <c r="D334" s="304"/>
      <c r="E334" s="305"/>
      <c r="F334" s="553"/>
      <c r="G334" s="223"/>
      <c r="I334" s="261"/>
      <c r="J334" s="261"/>
      <c r="K334" s="261"/>
    </row>
    <row r="335" spans="1:11" s="260" customFormat="1" ht="31.5" customHeight="1" hidden="1">
      <c r="A335" s="255"/>
      <c r="B335" s="256"/>
      <c r="C335" s="303"/>
      <c r="D335" s="304"/>
      <c r="E335" s="305"/>
      <c r="F335" s="553"/>
      <c r="G335" s="223"/>
      <c r="I335" s="261"/>
      <c r="J335" s="261"/>
      <c r="K335" s="261"/>
    </row>
    <row r="336" spans="1:11" s="260" customFormat="1" ht="33" customHeight="1" hidden="1">
      <c r="A336" s="255"/>
      <c r="B336" s="256"/>
      <c r="C336" s="303"/>
      <c r="D336" s="304"/>
      <c r="E336" s="305"/>
      <c r="F336" s="553"/>
      <c r="G336" s="223"/>
      <c r="I336" s="261"/>
      <c r="J336" s="261"/>
      <c r="K336" s="261"/>
    </row>
    <row r="337" spans="1:6" ht="13.5" customHeight="1" hidden="1">
      <c r="A337" s="242"/>
      <c r="B337" s="244"/>
      <c r="C337" s="318"/>
      <c r="D337" s="316"/>
      <c r="E337" s="317"/>
      <c r="F337" s="554"/>
    </row>
    <row r="338" spans="1:14" s="257" customFormat="1" ht="15.75" hidden="1" thickBot="1">
      <c r="A338" s="255"/>
      <c r="B338" s="256"/>
      <c r="C338" s="303"/>
      <c r="D338" s="304"/>
      <c r="E338" s="305"/>
      <c r="F338" s="553"/>
      <c r="G338" s="223"/>
      <c r="H338" s="259"/>
      <c r="I338" s="258"/>
      <c r="J338" s="258"/>
      <c r="K338" s="258"/>
      <c r="N338" s="258"/>
    </row>
    <row r="339" spans="1:14" s="257" customFormat="1" ht="15.75" hidden="1" thickBot="1">
      <c r="A339" s="255"/>
      <c r="B339" s="256"/>
      <c r="C339" s="303"/>
      <c r="D339" s="304"/>
      <c r="E339" s="305"/>
      <c r="F339" s="553"/>
      <c r="G339" s="223"/>
      <c r="H339" s="259"/>
      <c r="I339" s="258"/>
      <c r="J339" s="258"/>
      <c r="K339" s="258"/>
      <c r="N339" s="258"/>
    </row>
    <row r="340" spans="1:14" s="257" customFormat="1" ht="15.75" hidden="1" thickBot="1">
      <c r="A340" s="255"/>
      <c r="B340" s="256"/>
      <c r="C340" s="303"/>
      <c r="D340" s="304"/>
      <c r="E340" s="305"/>
      <c r="F340" s="553"/>
      <c r="G340" s="223"/>
      <c r="H340" s="259"/>
      <c r="I340" s="258"/>
      <c r="J340" s="258"/>
      <c r="K340" s="258"/>
      <c r="N340" s="258"/>
    </row>
    <row r="341" spans="1:14" s="257" customFormat="1" ht="15.75" hidden="1" thickBot="1">
      <c r="A341" s="255"/>
      <c r="B341" s="256"/>
      <c r="C341" s="303"/>
      <c r="D341" s="304"/>
      <c r="E341" s="305"/>
      <c r="F341" s="553"/>
      <c r="G341" s="223"/>
      <c r="H341" s="259"/>
      <c r="I341" s="258"/>
      <c r="J341" s="258"/>
      <c r="K341" s="258"/>
      <c r="N341" s="258"/>
    </row>
    <row r="342" spans="1:6" ht="13.5" customHeight="1" hidden="1">
      <c r="A342" s="242"/>
      <c r="B342" s="244"/>
      <c r="C342" s="318"/>
      <c r="D342" s="316"/>
      <c r="E342" s="317"/>
      <c r="F342" s="554"/>
    </row>
    <row r="343" spans="1:6" ht="13.5" customHeight="1" hidden="1">
      <c r="A343" s="242"/>
      <c r="B343" s="244"/>
      <c r="C343" s="318"/>
      <c r="D343" s="316"/>
      <c r="E343" s="317"/>
      <c r="F343" s="554"/>
    </row>
    <row r="344" spans="1:6" ht="13.5" customHeight="1" hidden="1">
      <c r="A344" s="242"/>
      <c r="B344" s="244"/>
      <c r="C344" s="318"/>
      <c r="D344" s="316"/>
      <c r="E344" s="317"/>
      <c r="F344" s="554"/>
    </row>
    <row r="345" spans="1:6" ht="14.25" customHeight="1" hidden="1">
      <c r="A345" s="242"/>
      <c r="B345" s="244"/>
      <c r="C345" s="318"/>
      <c r="D345" s="316"/>
      <c r="E345" s="317"/>
      <c r="F345" s="554"/>
    </row>
    <row r="346" spans="1:7" s="237" customFormat="1" ht="13.5" customHeight="1" hidden="1">
      <c r="A346" s="242"/>
      <c r="B346" s="244"/>
      <c r="C346" s="318"/>
      <c r="D346" s="316"/>
      <c r="E346" s="317"/>
      <c r="F346" s="554"/>
      <c r="G346" s="223"/>
    </row>
    <row r="347" spans="1:6" ht="13.5" customHeight="1" hidden="1">
      <c r="A347" s="242"/>
      <c r="B347" s="244"/>
      <c r="C347" s="318"/>
      <c r="D347" s="316"/>
      <c r="E347" s="317"/>
      <c r="F347" s="554"/>
    </row>
    <row r="348" spans="1:7" s="237" customFormat="1" ht="13.5" customHeight="1" hidden="1">
      <c r="A348" s="242"/>
      <c r="B348" s="244"/>
      <c r="C348" s="318"/>
      <c r="D348" s="316"/>
      <c r="E348" s="317"/>
      <c r="F348" s="554"/>
      <c r="G348" s="223"/>
    </row>
    <row r="349" spans="1:6" ht="13.5" customHeight="1" hidden="1">
      <c r="A349" s="234"/>
      <c r="B349" s="244"/>
      <c r="C349" s="315"/>
      <c r="D349" s="316"/>
      <c r="E349" s="317"/>
      <c r="F349" s="554"/>
    </row>
    <row r="350" spans="1:6" ht="13.5" customHeight="1" hidden="1">
      <c r="A350" s="242"/>
      <c r="B350" s="244"/>
      <c r="C350" s="318"/>
      <c r="D350" s="316"/>
      <c r="E350" s="317"/>
      <c r="F350" s="554"/>
    </row>
    <row r="351" spans="1:6" ht="13.5" customHeight="1" hidden="1">
      <c r="A351" s="242"/>
      <c r="B351" s="244"/>
      <c r="C351" s="318"/>
      <c r="D351" s="316"/>
      <c r="E351" s="317"/>
      <c r="F351" s="554"/>
    </row>
    <row r="352" spans="1:6" ht="16.5" customHeight="1" hidden="1">
      <c r="A352" s="242"/>
      <c r="B352" s="244"/>
      <c r="C352" s="318"/>
      <c r="D352" s="316"/>
      <c r="E352" s="317"/>
      <c r="F352" s="554"/>
    </row>
    <row r="353" spans="1:6" ht="15.75" hidden="1" thickBot="1">
      <c r="A353" s="242"/>
      <c r="B353" s="244"/>
      <c r="C353" s="318"/>
      <c r="D353" s="316"/>
      <c r="E353" s="317"/>
      <c r="F353" s="554"/>
    </row>
    <row r="354" spans="1:8" ht="19.5" customHeight="1" hidden="1" thickBot="1">
      <c r="A354" s="231"/>
      <c r="B354" s="233"/>
      <c r="C354" s="306"/>
      <c r="D354" s="306"/>
      <c r="E354" s="307"/>
      <c r="F354" s="552"/>
      <c r="H354" s="230"/>
    </row>
    <row r="355" spans="1:11" ht="18.75" customHeight="1">
      <c r="A355" s="691" t="s">
        <v>395</v>
      </c>
      <c r="B355" s="692"/>
      <c r="C355" s="692"/>
      <c r="D355" s="692"/>
      <c r="E355" s="692"/>
      <c r="F355" s="693"/>
      <c r="G355" s="224"/>
      <c r="H355" s="224"/>
      <c r="I355" s="224"/>
      <c r="J355" s="224"/>
      <c r="K355" s="224"/>
    </row>
    <row r="356" spans="1:6" ht="18.75" customHeight="1" thickBot="1">
      <c r="A356" s="530" t="s">
        <v>42</v>
      </c>
      <c r="B356" s="531">
        <f>ROUND(C356+D356+E356*2.9+F356*$H$1,0)</f>
        <v>3089</v>
      </c>
      <c r="C356" s="606">
        <f>189+51</f>
        <v>240</v>
      </c>
      <c r="D356" s="607">
        <f>164+46</f>
        <v>210</v>
      </c>
      <c r="E356" s="607">
        <f>712+198</f>
        <v>910</v>
      </c>
      <c r="F356" s="558">
        <v>0</v>
      </c>
    </row>
    <row r="357" spans="1:6" ht="18.75" customHeight="1" thickBot="1">
      <c r="A357" s="526" t="s">
        <v>7</v>
      </c>
      <c r="B357" s="527">
        <f>ROUND(C357+D357+E357*2.9+F357*$H$1,0)</f>
        <v>3089</v>
      </c>
      <c r="C357" s="528">
        <f>SUM(C356:C356)</f>
        <v>240</v>
      </c>
      <c r="D357" s="528">
        <f>SUM(D356:D356)</f>
        <v>210</v>
      </c>
      <c r="E357" s="529">
        <f>SUM(E356:E356)</f>
        <v>910</v>
      </c>
      <c r="F357" s="559">
        <f>SUM(F356:F356)</f>
        <v>0</v>
      </c>
    </row>
    <row r="358" spans="1:11" ht="18" customHeight="1">
      <c r="A358" s="691" t="s">
        <v>396</v>
      </c>
      <c r="B358" s="692"/>
      <c r="C358" s="692"/>
      <c r="D358" s="692"/>
      <c r="E358" s="692"/>
      <c r="F358" s="693"/>
      <c r="H358" s="224"/>
      <c r="I358" s="224"/>
      <c r="J358" s="224"/>
      <c r="K358" s="224"/>
    </row>
    <row r="359" spans="1:6" ht="21" customHeight="1" thickBot="1">
      <c r="A359" s="530" t="s">
        <v>42</v>
      </c>
      <c r="B359" s="531">
        <f>ROUND(C359+D359+E359*2.9+F359*$H$1,0)</f>
        <v>1978</v>
      </c>
      <c r="C359" s="532">
        <v>945</v>
      </c>
      <c r="D359" s="533">
        <v>82</v>
      </c>
      <c r="E359" s="533">
        <v>328</v>
      </c>
      <c r="F359" s="558">
        <v>0</v>
      </c>
    </row>
    <row r="360" spans="1:6" ht="19.5" customHeight="1" thickBot="1">
      <c r="A360" s="526" t="s">
        <v>7</v>
      </c>
      <c r="B360" s="527">
        <f>ROUND(C360+D360+E360*2.9+F360*$H$1,0)</f>
        <v>1978</v>
      </c>
      <c r="C360" s="528">
        <f>SUM(C359:C359)</f>
        <v>945</v>
      </c>
      <c r="D360" s="528">
        <f>SUM(D359:D359)</f>
        <v>82</v>
      </c>
      <c r="E360" s="529">
        <f>SUM(E359:E359)</f>
        <v>328</v>
      </c>
      <c r="F360" s="560">
        <f>SUM(F359:F359)</f>
        <v>0</v>
      </c>
    </row>
    <row r="361" spans="1:6" ht="20.25" customHeight="1">
      <c r="A361" s="691" t="s">
        <v>397</v>
      </c>
      <c r="B361" s="692"/>
      <c r="C361" s="692"/>
      <c r="D361" s="692"/>
      <c r="E361" s="692"/>
      <c r="F361" s="693"/>
    </row>
    <row r="362" spans="1:14" ht="18.75" customHeight="1">
      <c r="A362" s="226" t="s">
        <v>42</v>
      </c>
      <c r="B362" s="236">
        <f aca="true" t="shared" si="6" ref="B362:B368">ROUND(C362+D362+E362*2.9+F362*$H$1,0)</f>
        <v>11306</v>
      </c>
      <c r="C362" s="340">
        <v>5849</v>
      </c>
      <c r="D362" s="341">
        <v>260</v>
      </c>
      <c r="E362" s="341">
        <v>1792</v>
      </c>
      <c r="F362" s="561">
        <v>0</v>
      </c>
      <c r="H362" s="224"/>
      <c r="K362" s="224"/>
      <c r="L362" s="224"/>
      <c r="M362" s="224"/>
      <c r="N362" s="224"/>
    </row>
    <row r="363" spans="1:14" ht="18.75" customHeight="1" thickBot="1">
      <c r="A363" s="252" t="s">
        <v>43</v>
      </c>
      <c r="B363" s="269">
        <f t="shared" si="6"/>
        <v>7714</v>
      </c>
      <c r="C363" s="534">
        <v>3759</v>
      </c>
      <c r="D363" s="347">
        <v>185</v>
      </c>
      <c r="E363" s="347">
        <v>1300</v>
      </c>
      <c r="F363" s="562">
        <f>SUM(F362:F362)</f>
        <v>0</v>
      </c>
      <c r="H363" s="224"/>
      <c r="K363" s="224"/>
      <c r="L363" s="224"/>
      <c r="M363" s="224"/>
      <c r="N363" s="224"/>
    </row>
    <row r="364" spans="1:8" ht="18.75" customHeight="1" thickBot="1">
      <c r="A364" s="231" t="s">
        <v>7</v>
      </c>
      <c r="B364" s="232">
        <f t="shared" si="6"/>
        <v>19020</v>
      </c>
      <c r="C364" s="233">
        <f>SUM(C362:C363)</f>
        <v>9608</v>
      </c>
      <c r="D364" s="233">
        <f>SUM(D362:D363)</f>
        <v>445</v>
      </c>
      <c r="E364" s="515">
        <f>SUM(E362:E363)</f>
        <v>3092</v>
      </c>
      <c r="F364" s="563">
        <f>SUM(F362:F363)</f>
        <v>0</v>
      </c>
      <c r="H364" s="224"/>
    </row>
    <row r="365" spans="1:6" ht="18.75" customHeight="1">
      <c r="A365" s="691" t="s">
        <v>398</v>
      </c>
      <c r="B365" s="692"/>
      <c r="C365" s="692"/>
      <c r="D365" s="692"/>
      <c r="E365" s="692"/>
      <c r="F365" s="693"/>
    </row>
    <row r="366" spans="1:14" ht="15.75" customHeight="1">
      <c r="A366" s="226" t="s">
        <v>42</v>
      </c>
      <c r="B366" s="236">
        <f t="shared" si="6"/>
        <v>16020</v>
      </c>
      <c r="C366" s="340">
        <v>8133</v>
      </c>
      <c r="D366" s="341">
        <v>860</v>
      </c>
      <c r="E366" s="341">
        <v>2423</v>
      </c>
      <c r="F366" s="561">
        <v>0</v>
      </c>
      <c r="K366" s="224"/>
      <c r="L366" s="224"/>
      <c r="M366" s="224"/>
      <c r="N366" s="224"/>
    </row>
    <row r="367" spans="1:14" ht="15.75" customHeight="1" thickBot="1">
      <c r="A367" s="252" t="s">
        <v>43</v>
      </c>
      <c r="B367" s="269">
        <f t="shared" si="6"/>
        <v>9989</v>
      </c>
      <c r="C367" s="534">
        <v>5157</v>
      </c>
      <c r="D367" s="347">
        <v>470</v>
      </c>
      <c r="E367" s="347">
        <v>1504</v>
      </c>
      <c r="F367" s="562">
        <v>0</v>
      </c>
      <c r="K367" s="224"/>
      <c r="L367" s="224"/>
      <c r="M367" s="224"/>
      <c r="N367" s="224"/>
    </row>
    <row r="368" spans="1:8" ht="15.75" customHeight="1" thickBot="1">
      <c r="A368" s="231" t="s">
        <v>7</v>
      </c>
      <c r="B368" s="232">
        <f t="shared" si="6"/>
        <v>26008</v>
      </c>
      <c r="C368" s="233">
        <f>SUM(C366:C367)</f>
        <v>13290</v>
      </c>
      <c r="D368" s="233">
        <f>SUM(D366:D367)</f>
        <v>1330</v>
      </c>
      <c r="E368" s="515">
        <f>SUM(E366:E367)</f>
        <v>3927</v>
      </c>
      <c r="F368" s="563">
        <f>SUM(F366:F367)</f>
        <v>0</v>
      </c>
      <c r="H368" s="224"/>
    </row>
    <row r="369" spans="1:6" ht="15" customHeight="1">
      <c r="A369" s="691" t="s">
        <v>399</v>
      </c>
      <c r="B369" s="692"/>
      <c r="C369" s="692"/>
      <c r="D369" s="692"/>
      <c r="E369" s="692"/>
      <c r="F369" s="693"/>
    </row>
    <row r="370" spans="1:6" ht="15.75" customHeight="1">
      <c r="A370" s="234" t="s">
        <v>68</v>
      </c>
      <c r="B370" s="245">
        <f aca="true" t="shared" si="7" ref="B370:B376">ROUND(C370+D370+E370*2.9,0)</f>
        <v>1023</v>
      </c>
      <c r="C370" s="355">
        <f>159+23</f>
        <v>182</v>
      </c>
      <c r="D370" s="345">
        <v>0</v>
      </c>
      <c r="E370" s="345">
        <f>198+92</f>
        <v>290</v>
      </c>
      <c r="F370" s="561">
        <v>0</v>
      </c>
    </row>
    <row r="371" spans="1:6" ht="15.75" customHeight="1">
      <c r="A371" s="234" t="s">
        <v>227</v>
      </c>
      <c r="B371" s="245">
        <f t="shared" si="7"/>
        <v>155</v>
      </c>
      <c r="C371" s="344">
        <v>4</v>
      </c>
      <c r="D371" s="345">
        <v>0</v>
      </c>
      <c r="E371" s="345">
        <f>2+50</f>
        <v>52</v>
      </c>
      <c r="F371" s="561">
        <v>0</v>
      </c>
    </row>
    <row r="372" spans="1:6" ht="15.75" customHeight="1">
      <c r="A372" s="234" t="s">
        <v>1</v>
      </c>
      <c r="B372" s="245">
        <f t="shared" si="7"/>
        <v>539</v>
      </c>
      <c r="C372" s="344">
        <f>170-66</f>
        <v>104</v>
      </c>
      <c r="D372" s="345">
        <v>0</v>
      </c>
      <c r="E372" s="345">
        <f>123+27</f>
        <v>150</v>
      </c>
      <c r="F372" s="561">
        <v>0</v>
      </c>
    </row>
    <row r="373" spans="1:6" ht="15.75" customHeight="1">
      <c r="A373" s="234" t="s">
        <v>33</v>
      </c>
      <c r="B373" s="245">
        <f t="shared" si="7"/>
        <v>382</v>
      </c>
      <c r="C373" s="344">
        <f>88+42</f>
        <v>130</v>
      </c>
      <c r="D373" s="345">
        <v>0</v>
      </c>
      <c r="E373" s="345">
        <v>87</v>
      </c>
      <c r="F373" s="561">
        <v>0</v>
      </c>
    </row>
    <row r="374" spans="1:6" ht="15.75" customHeight="1">
      <c r="A374" s="234" t="s">
        <v>62</v>
      </c>
      <c r="B374" s="245">
        <f t="shared" si="7"/>
        <v>97</v>
      </c>
      <c r="C374" s="344">
        <v>1</v>
      </c>
      <c r="D374" s="345">
        <v>0</v>
      </c>
      <c r="E374" s="345">
        <f>3+30</f>
        <v>33</v>
      </c>
      <c r="F374" s="561">
        <v>0</v>
      </c>
    </row>
    <row r="375" spans="1:6" ht="15.75" customHeight="1">
      <c r="A375" s="234" t="s">
        <v>76</v>
      </c>
      <c r="B375" s="245">
        <f>ROUND(C375+D375+E375*2.9,0)+1</f>
        <v>327</v>
      </c>
      <c r="C375" s="355">
        <f>15+1</f>
        <v>16</v>
      </c>
      <c r="D375" s="345">
        <v>0</v>
      </c>
      <c r="E375" s="345">
        <f>57+50</f>
        <v>107</v>
      </c>
      <c r="F375" s="561">
        <v>0</v>
      </c>
    </row>
    <row r="376" spans="1:14" ht="18.75" customHeight="1" thickBot="1">
      <c r="A376" s="226" t="s">
        <v>42</v>
      </c>
      <c r="B376" s="236">
        <f t="shared" si="7"/>
        <v>12686</v>
      </c>
      <c r="C376" s="340">
        <v>6170</v>
      </c>
      <c r="D376" s="341">
        <v>0</v>
      </c>
      <c r="E376" s="341">
        <v>2247</v>
      </c>
      <c r="F376" s="561">
        <v>0</v>
      </c>
      <c r="K376" s="224"/>
      <c r="L376" s="224"/>
      <c r="M376" s="224"/>
      <c r="N376" s="224"/>
    </row>
    <row r="377" spans="1:8" ht="18.75" customHeight="1" thickBot="1">
      <c r="A377" s="231" t="s">
        <v>7</v>
      </c>
      <c r="B377" s="232">
        <f>SUM(B370:B376)</f>
        <v>15209</v>
      </c>
      <c r="C377" s="233">
        <f>SUM(C370:C376)</f>
        <v>6607</v>
      </c>
      <c r="D377" s="233">
        <f>SUM(D370:D376)</f>
        <v>0</v>
      </c>
      <c r="E377" s="515">
        <f>SUM(E370:E376)</f>
        <v>2966</v>
      </c>
      <c r="F377" s="564">
        <f>SUM(F370:F376)</f>
        <v>0</v>
      </c>
      <c r="H377" s="224"/>
    </row>
    <row r="378" spans="1:6" ht="21.75" customHeight="1">
      <c r="A378" s="691" t="s">
        <v>400</v>
      </c>
      <c r="B378" s="692"/>
      <c r="C378" s="692"/>
      <c r="D378" s="692"/>
      <c r="E378" s="692"/>
      <c r="F378" s="693"/>
    </row>
    <row r="379" spans="1:6" ht="19.5" customHeight="1" thickBot="1">
      <c r="A379" s="530" t="s">
        <v>42</v>
      </c>
      <c r="B379" s="531">
        <f>ROUND(C379+D379+E379*2.9,0)</f>
        <v>4131</v>
      </c>
      <c r="C379" s="532">
        <v>4131</v>
      </c>
      <c r="D379" s="533">
        <v>0</v>
      </c>
      <c r="E379" s="533">
        <v>0</v>
      </c>
      <c r="F379" s="558">
        <v>0</v>
      </c>
    </row>
    <row r="380" spans="1:6" ht="18.75" customHeight="1" thickBot="1">
      <c r="A380" s="526" t="s">
        <v>7</v>
      </c>
      <c r="B380" s="527">
        <f>SUM(B379:B379)</f>
        <v>4131</v>
      </c>
      <c r="C380" s="528">
        <f>SUM(C379:C379)</f>
        <v>4131</v>
      </c>
      <c r="D380" s="528">
        <f>SUM(D379:D379)</f>
        <v>0</v>
      </c>
      <c r="E380" s="529">
        <f>SUM(E379:E379)</f>
        <v>0</v>
      </c>
      <c r="F380" s="560">
        <f>SUM(F379:F379)</f>
        <v>0</v>
      </c>
    </row>
    <row r="381" spans="1:6" ht="19.5" customHeight="1">
      <c r="A381" s="691" t="s">
        <v>401</v>
      </c>
      <c r="B381" s="692"/>
      <c r="C381" s="692"/>
      <c r="D381" s="692"/>
      <c r="E381" s="692"/>
      <c r="F381" s="693"/>
    </row>
    <row r="382" spans="1:14" ht="13.5" customHeight="1">
      <c r="A382" s="226" t="s">
        <v>42</v>
      </c>
      <c r="B382" s="236">
        <f>ROUND(C382+D382+E382*2.9,0)</f>
        <v>2048</v>
      </c>
      <c r="C382" s="340">
        <v>893</v>
      </c>
      <c r="D382" s="341">
        <v>56</v>
      </c>
      <c r="E382" s="341">
        <v>379</v>
      </c>
      <c r="F382" s="561">
        <v>0</v>
      </c>
      <c r="K382" s="224"/>
      <c r="L382" s="224"/>
      <c r="M382" s="224"/>
      <c r="N382" s="224"/>
    </row>
    <row r="383" spans="1:14" ht="21" customHeight="1" thickBot="1">
      <c r="A383" s="252" t="s">
        <v>43</v>
      </c>
      <c r="B383" s="269">
        <f>ROUND(C383+D383+E383*2.9,0)</f>
        <v>786</v>
      </c>
      <c r="C383" s="534">
        <v>221</v>
      </c>
      <c r="D383" s="347">
        <v>14</v>
      </c>
      <c r="E383" s="347">
        <v>190</v>
      </c>
      <c r="F383" s="562">
        <v>0</v>
      </c>
      <c r="K383" s="224"/>
      <c r="L383" s="224"/>
      <c r="M383" s="224"/>
      <c r="N383" s="224"/>
    </row>
    <row r="384" spans="1:8" ht="18.75" customHeight="1" thickBot="1">
      <c r="A384" s="231" t="s">
        <v>7</v>
      </c>
      <c r="B384" s="232">
        <f>SUM(B382:B383)</f>
        <v>2834</v>
      </c>
      <c r="C384" s="233">
        <f>SUM(C382:C383)</f>
        <v>1114</v>
      </c>
      <c r="D384" s="233">
        <f>SUM(D382:D383)</f>
        <v>70</v>
      </c>
      <c r="E384" s="515">
        <f>SUM(E382:E383)</f>
        <v>569</v>
      </c>
      <c r="F384" s="563">
        <f>SUM(F382:F383)</f>
        <v>0</v>
      </c>
      <c r="H384" s="224"/>
    </row>
    <row r="385" spans="1:14" ht="18.75" customHeight="1">
      <c r="A385" s="691" t="s">
        <v>402</v>
      </c>
      <c r="B385" s="692"/>
      <c r="C385" s="692"/>
      <c r="D385" s="692"/>
      <c r="E385" s="692"/>
      <c r="F385" s="693"/>
      <c r="K385" s="224"/>
      <c r="L385" s="224"/>
      <c r="M385" s="224"/>
      <c r="N385" s="224"/>
    </row>
    <row r="386" spans="1:6" ht="18.75" customHeight="1" thickBot="1">
      <c r="A386" s="530" t="s">
        <v>70</v>
      </c>
      <c r="B386" s="531">
        <f>ROUND(C386+D386+E386*2.9,0)</f>
        <v>580</v>
      </c>
      <c r="C386" s="532">
        <v>0</v>
      </c>
      <c r="D386" s="533">
        <v>0</v>
      </c>
      <c r="E386" s="533">
        <v>200</v>
      </c>
      <c r="F386" s="558">
        <v>0</v>
      </c>
    </row>
    <row r="387" spans="1:6" ht="18.75" customHeight="1" thickBot="1">
      <c r="A387" s="526" t="s">
        <v>7</v>
      </c>
      <c r="B387" s="527">
        <f>SUM(B386:B386)</f>
        <v>580</v>
      </c>
      <c r="C387" s="528">
        <f>SUM(C386:C386)</f>
        <v>0</v>
      </c>
      <c r="D387" s="528">
        <f>SUM(D386:D386)</f>
        <v>0</v>
      </c>
      <c r="E387" s="529">
        <f>SUM(E386:E386)</f>
        <v>200</v>
      </c>
      <c r="F387" s="560">
        <f>SUM(F386:F386)</f>
        <v>0</v>
      </c>
    </row>
    <row r="388" spans="1:6" ht="18.75" customHeight="1">
      <c r="A388" s="691" t="s">
        <v>403</v>
      </c>
      <c r="B388" s="692"/>
      <c r="C388" s="692"/>
      <c r="D388" s="692"/>
      <c r="E388" s="692"/>
      <c r="F388" s="693"/>
    </row>
    <row r="389" spans="1:6" ht="18.75" customHeight="1" thickBot="1">
      <c r="A389" s="530" t="s">
        <v>467</v>
      </c>
      <c r="B389" s="531">
        <f>ROUND(C389+D389+E389*2.9,0)</f>
        <v>6</v>
      </c>
      <c r="C389" s="532">
        <v>6</v>
      </c>
      <c r="D389" s="533">
        <v>0</v>
      </c>
      <c r="E389" s="533">
        <v>0</v>
      </c>
      <c r="F389" s="558">
        <v>0</v>
      </c>
    </row>
    <row r="390" spans="1:6" ht="18.75" customHeight="1" thickBot="1">
      <c r="A390" s="526" t="s">
        <v>7</v>
      </c>
      <c r="B390" s="527">
        <f>SUM(B389:B389)</f>
        <v>6</v>
      </c>
      <c r="C390" s="528">
        <f>SUM(C389:C389)</f>
        <v>6</v>
      </c>
      <c r="D390" s="528">
        <f>SUM(D389:D389)</f>
        <v>0</v>
      </c>
      <c r="E390" s="529">
        <f>SUM(E389:E389)</f>
        <v>0</v>
      </c>
      <c r="F390" s="560">
        <f>SUM(F389:F389)</f>
        <v>0</v>
      </c>
    </row>
    <row r="391" spans="1:6" ht="18.75" customHeight="1">
      <c r="A391" s="664" t="s">
        <v>543</v>
      </c>
      <c r="B391" s="665"/>
      <c r="C391" s="665"/>
      <c r="D391" s="665"/>
      <c r="E391" s="665"/>
      <c r="F391" s="666"/>
    </row>
    <row r="392" spans="1:6" ht="30.75" customHeight="1">
      <c r="A392" s="609" t="s">
        <v>544</v>
      </c>
      <c r="B392" s="610">
        <f>ROUND(C392+D392+E392*2.9,0)</f>
        <v>6</v>
      </c>
      <c r="C392" s="611">
        <v>0</v>
      </c>
      <c r="D392" s="612">
        <v>0</v>
      </c>
      <c r="E392" s="612">
        <v>2</v>
      </c>
      <c r="F392" s="613">
        <v>0</v>
      </c>
    </row>
    <row r="393" spans="1:6" ht="18.75" customHeight="1" thickBot="1">
      <c r="A393" s="614" t="s">
        <v>7</v>
      </c>
      <c r="B393" s="615">
        <f>SUM(B392:B392)</f>
        <v>6</v>
      </c>
      <c r="C393" s="616">
        <f>SUM(C392:C392)</f>
        <v>0</v>
      </c>
      <c r="D393" s="616">
        <f>SUM(D392:D392)</f>
        <v>0</v>
      </c>
      <c r="E393" s="617">
        <f>SUM(E392:E392)</f>
        <v>2</v>
      </c>
      <c r="F393" s="618">
        <f>SUM(F392:F392)</f>
        <v>0</v>
      </c>
    </row>
    <row r="394" spans="1:6" ht="31.5" customHeight="1">
      <c r="A394" s="691" t="s">
        <v>516</v>
      </c>
      <c r="B394" s="692"/>
      <c r="C394" s="692"/>
      <c r="D394" s="692"/>
      <c r="E394" s="692"/>
      <c r="F394" s="693"/>
    </row>
    <row r="395" spans="1:9" ht="29.25" customHeight="1" thickBot="1">
      <c r="A395" s="530" t="s">
        <v>204</v>
      </c>
      <c r="B395" s="531">
        <f>ROUND(C395+D395+E395*2.9,0)</f>
        <v>21028</v>
      </c>
      <c r="C395" s="532">
        <v>8331</v>
      </c>
      <c r="D395" s="533">
        <v>2115</v>
      </c>
      <c r="E395" s="533">
        <v>3649</v>
      </c>
      <c r="F395" s="558">
        <v>0</v>
      </c>
      <c r="G395" s="224"/>
      <c r="H395" s="224"/>
      <c r="I395" s="224"/>
    </row>
    <row r="396" spans="1:16" ht="29.25" thickBot="1">
      <c r="A396" s="253" t="s">
        <v>14</v>
      </c>
      <c r="B396" s="328">
        <f>B384+B380+B377+B368+B364+B360+B357+B354+B331+B307+B287+B265+B246+B228+B207+B184+B180+B146+B99+B71+B67+B56+B133+B387+B395+B390</f>
        <v>1174341</v>
      </c>
      <c r="C396" s="328">
        <f>C384+C380+C377+C368+C364+C360+C357+C354+C331+C307+C287+C265+C246+C228+C207+C184+C180+C146+C99+C71+C67+C56+C133+C387+C395+C390+C393</f>
        <v>367223</v>
      </c>
      <c r="D396" s="328">
        <f>D384+D380+D377+D368+D364+D360+D357+D354+D331+D307+D287+D265+D246+D228+D207+D184+D180+D146+D99+D71+D67+D56+D133+D387+D395+D390+D393</f>
        <v>72631</v>
      </c>
      <c r="E396" s="535">
        <f>E384+E380+E377+E368+E364+E360+E357+E354+E331+E307+E287+E265+E246+E228+E207+E184+E180+E146+E99+E71+E67+E56+E133+E387+E395+E390+E393</f>
        <v>241134</v>
      </c>
      <c r="F396" s="565">
        <f>F384+F380+F377+F368+F364+F360+F357+F354+F331+F307+F287+F265+F246+F228+F207+F184+F180+F146+F99+F71+F67+F56+F133+F387+F395+F390+F393</f>
        <v>35204</v>
      </c>
      <c r="G396" s="224">
        <f>H396+I396+J396*2.9+K396</f>
        <v>1173505.6</v>
      </c>
      <c r="H396" s="339">
        <f>35722+44575+286926</f>
        <v>367223</v>
      </c>
      <c r="I396" s="339">
        <v>72631</v>
      </c>
      <c r="J396" s="339">
        <f>240447+397</f>
        <v>240844</v>
      </c>
      <c r="K396" s="339">
        <v>35204</v>
      </c>
      <c r="L396" s="224"/>
      <c r="M396" s="224"/>
      <c r="N396" s="224"/>
      <c r="O396" s="224"/>
      <c r="P396" s="224"/>
    </row>
    <row r="397" spans="1:16" s="260" customFormat="1" ht="42.75" customHeight="1">
      <c r="A397" s="272" t="s">
        <v>371</v>
      </c>
      <c r="B397" s="256">
        <f>ROUND(C397+D397+E397*2.9,0)</f>
        <v>80297</v>
      </c>
      <c r="C397" s="303">
        <f>SUM(C398:C403)-C399</f>
        <v>80297</v>
      </c>
      <c r="D397" s="303">
        <f>SUM(D398:D403)-D399</f>
        <v>0</v>
      </c>
      <c r="E397" s="536">
        <f>SUM(E398:E403)-E399</f>
        <v>0</v>
      </c>
      <c r="F397" s="548">
        <f>SUM(F398:F403)-F399</f>
        <v>0</v>
      </c>
      <c r="G397" s="258">
        <f>G396-B396</f>
        <v>-835.3999999999069</v>
      </c>
      <c r="H397" s="258">
        <f>H396-C396</f>
        <v>0</v>
      </c>
      <c r="I397" s="258">
        <f>I396-D396</f>
        <v>0</v>
      </c>
      <c r="J397" s="258">
        <f>J396-E396</f>
        <v>-290</v>
      </c>
      <c r="K397" s="258">
        <f>K396-F396</f>
        <v>0</v>
      </c>
      <c r="L397" s="224"/>
      <c r="M397" s="224"/>
      <c r="N397" s="224"/>
      <c r="O397" s="224"/>
      <c r="P397" s="224"/>
    </row>
    <row r="398" spans="1:16" s="260" customFormat="1" ht="30" customHeight="1">
      <c r="A398" s="255" t="s">
        <v>370</v>
      </c>
      <c r="B398" s="256">
        <f aca="true" t="shared" si="8" ref="B398:B403">ROUND(C398+D398+E398*2.9,0)</f>
        <v>44041</v>
      </c>
      <c r="C398" s="303">
        <f>C138+C168+C188+C211+C232+C250+C269+C291+C311+C335+C39</f>
        <v>44041</v>
      </c>
      <c r="D398" s="304">
        <f aca="true" t="shared" si="9" ref="D398:F399">D138+D168+D188+D211+D232+D250+D269+D291+D311+D335</f>
        <v>0</v>
      </c>
      <c r="E398" s="304">
        <f t="shared" si="9"/>
        <v>0</v>
      </c>
      <c r="F398" s="553">
        <f t="shared" si="9"/>
        <v>0</v>
      </c>
      <c r="G398" s="258">
        <f>'1.1. ПРОФ.МЕРОПРИЯТИЯ'!E23</f>
        <v>44041</v>
      </c>
      <c r="H398" s="261">
        <f aca="true" t="shared" si="10" ref="H398:H403">G398-B398</f>
        <v>0</v>
      </c>
      <c r="I398" s="261"/>
      <c r="J398" s="261"/>
      <c r="K398" s="261"/>
      <c r="L398" s="224"/>
      <c r="M398" s="224"/>
      <c r="N398" s="224"/>
      <c r="O398" s="224"/>
      <c r="P398" s="224"/>
    </row>
    <row r="399" spans="1:16" s="260" customFormat="1" ht="23.25" customHeight="1">
      <c r="A399" s="255" t="s">
        <v>369</v>
      </c>
      <c r="B399" s="256">
        <f t="shared" si="8"/>
        <v>3020</v>
      </c>
      <c r="C399" s="303">
        <f>C139+C169+C189+C212+C233+C251+C270+C292+C312+C336+C40</f>
        <v>3020</v>
      </c>
      <c r="D399" s="304">
        <f t="shared" si="9"/>
        <v>0</v>
      </c>
      <c r="E399" s="304">
        <f t="shared" si="9"/>
        <v>0</v>
      </c>
      <c r="F399" s="553">
        <f t="shared" si="9"/>
        <v>0</v>
      </c>
      <c r="G399" s="258">
        <f>'1.1. ПРОФ.МЕРОПРИЯТИЯ'!F23</f>
        <v>3020</v>
      </c>
      <c r="H399" s="261">
        <f t="shared" si="10"/>
        <v>0</v>
      </c>
      <c r="I399" s="261"/>
      <c r="J399" s="261"/>
      <c r="K399" s="261"/>
      <c r="L399" s="224"/>
      <c r="M399" s="224"/>
      <c r="N399" s="224"/>
      <c r="O399" s="224"/>
      <c r="P399" s="224"/>
    </row>
    <row r="400" spans="1:16" s="260" customFormat="1" ht="28.5" customHeight="1">
      <c r="A400" s="255" t="s">
        <v>203</v>
      </c>
      <c r="B400" s="256">
        <f t="shared" si="8"/>
        <v>9683</v>
      </c>
      <c r="C400" s="303">
        <f>C139+C170+C189+C212+C233+C251+C270+C292+C312+C336+C41</f>
        <v>9683</v>
      </c>
      <c r="D400" s="304">
        <f>D139+D170+D189+D212+D233+D251+D270+D292+D312+D336</f>
        <v>0</v>
      </c>
      <c r="E400" s="304">
        <f>E139+E170+E189+E212+E233+E251+E270+E292+E312+E336</f>
        <v>0</v>
      </c>
      <c r="F400" s="553">
        <f>F139+F170+F189+F212+F233+F251+F270+F292+F312+F336</f>
        <v>0</v>
      </c>
      <c r="G400" s="258">
        <f>'1.1. ПРОФ.МЕРОПРИЯТИЯ'!I23</f>
        <v>9683</v>
      </c>
      <c r="H400" s="261">
        <f t="shared" si="10"/>
        <v>0</v>
      </c>
      <c r="I400" s="261"/>
      <c r="J400" s="261"/>
      <c r="K400" s="261"/>
      <c r="L400" s="224"/>
      <c r="M400" s="224"/>
      <c r="N400" s="224"/>
      <c r="O400" s="224"/>
      <c r="P400" s="224"/>
    </row>
    <row r="401" spans="1:16" s="257" customFormat="1" ht="30">
      <c r="A401" s="255" t="s">
        <v>145</v>
      </c>
      <c r="B401" s="256">
        <f t="shared" si="8"/>
        <v>250</v>
      </c>
      <c r="C401" s="303">
        <f>C93+C192+C215+C255+C273+C295+C315+C339+C236+C29+C127</f>
        <v>250</v>
      </c>
      <c r="D401" s="304">
        <f aca="true" t="shared" si="11" ref="D401:F403">D93+D192+D215+D255+D273+D295+D315+D339+D236</f>
        <v>0</v>
      </c>
      <c r="E401" s="304">
        <f t="shared" si="11"/>
        <v>0</v>
      </c>
      <c r="F401" s="553">
        <f t="shared" si="11"/>
        <v>0</v>
      </c>
      <c r="G401" s="258">
        <f>'1.1. ПРОФ.МЕРОПРИЯТИЯ'!C23</f>
        <v>250</v>
      </c>
      <c r="H401" s="261">
        <f t="shared" si="10"/>
        <v>0</v>
      </c>
      <c r="I401" s="258"/>
      <c r="J401" s="258"/>
      <c r="K401" s="258"/>
      <c r="L401" s="224"/>
      <c r="M401" s="224"/>
      <c r="N401" s="224"/>
      <c r="O401" s="224"/>
      <c r="P401" s="224"/>
    </row>
    <row r="402" spans="1:16" s="257" customFormat="1" ht="28.5" customHeight="1">
      <c r="A402" s="255" t="s">
        <v>146</v>
      </c>
      <c r="B402" s="256">
        <f t="shared" si="8"/>
        <v>284</v>
      </c>
      <c r="C402" s="303">
        <f>C94+C193+C216+C256+C274+C296+C316+C340+C237+C30+C128</f>
        <v>284</v>
      </c>
      <c r="D402" s="304">
        <f t="shared" si="11"/>
        <v>0</v>
      </c>
      <c r="E402" s="304">
        <f t="shared" si="11"/>
        <v>0</v>
      </c>
      <c r="F402" s="553">
        <f t="shared" si="11"/>
        <v>0</v>
      </c>
      <c r="G402" s="258">
        <f>'1.1. ПРОФ.МЕРОПРИЯТИЯ'!D23</f>
        <v>284</v>
      </c>
      <c r="H402" s="261">
        <f t="shared" si="10"/>
        <v>0</v>
      </c>
      <c r="I402" s="258"/>
      <c r="J402" s="258"/>
      <c r="K402" s="258"/>
      <c r="L402" s="224"/>
      <c r="M402" s="224"/>
      <c r="N402" s="224"/>
      <c r="O402" s="224"/>
      <c r="P402" s="224"/>
    </row>
    <row r="403" spans="1:16" s="257" customFormat="1" ht="30">
      <c r="A403" s="255" t="s">
        <v>147</v>
      </c>
      <c r="B403" s="256">
        <f t="shared" si="8"/>
        <v>26039</v>
      </c>
      <c r="C403" s="303">
        <f>C95+C194+C217+C257+C275+C297+C317+C341+C238+C31+C129</f>
        <v>26039</v>
      </c>
      <c r="D403" s="304">
        <f t="shared" si="11"/>
        <v>0</v>
      </c>
      <c r="E403" s="304">
        <f t="shared" si="11"/>
        <v>0</v>
      </c>
      <c r="F403" s="553">
        <f t="shared" si="11"/>
        <v>0</v>
      </c>
      <c r="G403" s="258">
        <f>'1.1. ПРОФ.МЕРОПРИЯТИЯ'!H23</f>
        <v>26039</v>
      </c>
      <c r="H403" s="261">
        <f t="shared" si="10"/>
        <v>0</v>
      </c>
      <c r="I403" s="258"/>
      <c r="J403" s="258"/>
      <c r="K403" s="258"/>
      <c r="L403" s="224"/>
      <c r="M403" s="224"/>
      <c r="N403" s="224"/>
      <c r="O403" s="224"/>
      <c r="P403" s="224"/>
    </row>
    <row r="404" spans="1:6" s="250" customFormat="1" ht="23.25" customHeight="1">
      <c r="A404" s="632" t="s">
        <v>495</v>
      </c>
      <c r="B404" s="633">
        <f>ROUND(C404+D404+E404*2.9,0)</f>
        <v>3105</v>
      </c>
      <c r="C404" s="349">
        <f>C181+C100+C134</f>
        <v>2355</v>
      </c>
      <c r="D404" s="349">
        <f>D181+D100+D134</f>
        <v>300</v>
      </c>
      <c r="E404" s="349">
        <f>E181+E100+E134</f>
        <v>155</v>
      </c>
      <c r="F404" s="548">
        <f>F181+F100+F134</f>
        <v>0</v>
      </c>
    </row>
    <row r="405" spans="1:6" s="250" customFormat="1" ht="27.75" customHeight="1" thickBot="1">
      <c r="A405" s="595" t="s">
        <v>519</v>
      </c>
      <c r="B405" s="596">
        <f>B176+B116</f>
        <v>550</v>
      </c>
      <c r="C405" s="630">
        <f>C176+C116</f>
        <v>80</v>
      </c>
      <c r="D405" s="630">
        <v>0</v>
      </c>
      <c r="E405" s="630">
        <v>0</v>
      </c>
      <c r="F405" s="631">
        <v>0</v>
      </c>
    </row>
    <row r="406" spans="2:16" s="250" customFormat="1" ht="15.75" thickBot="1">
      <c r="B406" s="254"/>
      <c r="C406" s="329"/>
      <c r="D406" s="329"/>
      <c r="E406" s="329"/>
      <c r="F406" s="254"/>
      <c r="H406" s="683"/>
      <c r="I406" s="683"/>
      <c r="J406" s="683"/>
      <c r="K406" s="250" t="s">
        <v>472</v>
      </c>
      <c r="N406" s="683" t="s">
        <v>471</v>
      </c>
      <c r="O406" s="683"/>
      <c r="P406" s="683"/>
    </row>
    <row r="407" spans="1:16" s="250" customFormat="1" ht="15" customHeight="1" thickBot="1">
      <c r="A407" s="694" t="s">
        <v>4</v>
      </c>
      <c r="B407" s="699" t="s">
        <v>107</v>
      </c>
      <c r="C407" s="700" t="s">
        <v>475</v>
      </c>
      <c r="D407" s="701"/>
      <c r="E407" s="701"/>
      <c r="F407" s="702"/>
      <c r="G407" s="678" t="s">
        <v>107</v>
      </c>
      <c r="H407" s="673" t="s">
        <v>474</v>
      </c>
      <c r="I407" s="673"/>
      <c r="J407" s="674"/>
      <c r="M407" s="687" t="s">
        <v>107</v>
      </c>
      <c r="N407" s="684" t="s">
        <v>473</v>
      </c>
      <c r="O407" s="673"/>
      <c r="P407" s="674"/>
    </row>
    <row r="408" spans="1:16" s="250" customFormat="1" ht="15" customHeight="1">
      <c r="A408" s="695"/>
      <c r="B408" s="679"/>
      <c r="C408" s="667" t="s">
        <v>196</v>
      </c>
      <c r="D408" s="669" t="s">
        <v>44</v>
      </c>
      <c r="E408" s="671" t="s">
        <v>45</v>
      </c>
      <c r="F408" s="681" t="s">
        <v>488</v>
      </c>
      <c r="G408" s="679"/>
      <c r="H408" s="675" t="s">
        <v>196</v>
      </c>
      <c r="I408" s="676" t="s">
        <v>44</v>
      </c>
      <c r="J408" s="677" t="s">
        <v>45</v>
      </c>
      <c r="M408" s="679"/>
      <c r="N408" s="685" t="s">
        <v>196</v>
      </c>
      <c r="O408" s="676" t="s">
        <v>44</v>
      </c>
      <c r="P408" s="677" t="s">
        <v>45</v>
      </c>
    </row>
    <row r="409" spans="1:16" s="250" customFormat="1" ht="35.25" customHeight="1" thickBot="1">
      <c r="A409" s="696"/>
      <c r="B409" s="680"/>
      <c r="C409" s="668"/>
      <c r="D409" s="670"/>
      <c r="E409" s="672"/>
      <c r="F409" s="682"/>
      <c r="G409" s="680"/>
      <c r="H409" s="668"/>
      <c r="I409" s="670"/>
      <c r="J409" s="672"/>
      <c r="M409" s="680"/>
      <c r="N409" s="686"/>
      <c r="O409" s="670"/>
      <c r="P409" s="672"/>
    </row>
    <row r="410" spans="1:26" s="250" customFormat="1" ht="15.75">
      <c r="A410" s="485" t="s">
        <v>442</v>
      </c>
      <c r="B410" s="489">
        <f>B14+B52+B102+B103+B148+B370</f>
        <v>65882</v>
      </c>
      <c r="C410" s="489">
        <f>C14+C52+C102+C103+C148+C370</f>
        <v>23762</v>
      </c>
      <c r="D410" s="489">
        <f>D14+D52+D102+D103+D148+D370</f>
        <v>2254</v>
      </c>
      <c r="E410" s="489">
        <f>E14+E52+E102+E103+E148+E370</f>
        <v>13021</v>
      </c>
      <c r="F410" s="489">
        <f>F14+F52+F102+F103+F148+F370</f>
        <v>2106</v>
      </c>
      <c r="G410" s="250">
        <f>ROUND(H410+I410+J410*2.9,0)</f>
        <v>1311</v>
      </c>
      <c r="H410" s="250">
        <f>366+25</f>
        <v>391</v>
      </c>
      <c r="I410" s="250">
        <v>50</v>
      </c>
      <c r="J410" s="250">
        <v>300</v>
      </c>
      <c r="K410" s="498">
        <f>SUM(H410:J410)</f>
        <v>741</v>
      </c>
      <c r="M410" s="499">
        <f>B410+G410</f>
        <v>67193</v>
      </c>
      <c r="N410" s="499">
        <f>C410+H410</f>
        <v>24153</v>
      </c>
      <c r="O410" s="499">
        <f>D410+I410</f>
        <v>2304</v>
      </c>
      <c r="P410" s="499">
        <f>E410+J410</f>
        <v>13321</v>
      </c>
      <c r="T410" s="254">
        <f>P410+F410</f>
        <v>15427</v>
      </c>
      <c r="W410" s="499"/>
      <c r="X410" s="254"/>
      <c r="Y410" s="254"/>
      <c r="Z410" s="254"/>
    </row>
    <row r="411" spans="1:26" s="250" customFormat="1" ht="15.75">
      <c r="A411" s="485" t="s">
        <v>443</v>
      </c>
      <c r="B411" s="489">
        <f>B73+B149+B107</f>
        <v>2677</v>
      </c>
      <c r="C411" s="489">
        <f>C73+C149+C107</f>
        <v>1033</v>
      </c>
      <c r="D411" s="489">
        <f>D73+D149+D107</f>
        <v>69</v>
      </c>
      <c r="E411" s="489">
        <f>E73+E149+E107</f>
        <v>543</v>
      </c>
      <c r="F411" s="489">
        <f>F73+F149+F107</f>
        <v>0</v>
      </c>
      <c r="G411" s="250">
        <f aca="true" t="shared" si="12" ref="G411:G438">ROUND(H411+I411+J411*2.9,0)</f>
        <v>37</v>
      </c>
      <c r="H411" s="250">
        <v>20</v>
      </c>
      <c r="I411" s="250">
        <v>0</v>
      </c>
      <c r="J411" s="250">
        <v>6</v>
      </c>
      <c r="K411" s="498">
        <f aca="true" t="shared" si="13" ref="K411:K438">SUM(H411:J411)</f>
        <v>26</v>
      </c>
      <c r="M411" s="499">
        <f aca="true" t="shared" si="14" ref="M411:M438">B411+G411</f>
        <v>2714</v>
      </c>
      <c r="N411" s="499">
        <f aca="true" t="shared" si="15" ref="N411:N439">C411+H411</f>
        <v>1053</v>
      </c>
      <c r="O411" s="499">
        <f aca="true" t="shared" si="16" ref="O411:O439">D411+I411</f>
        <v>69</v>
      </c>
      <c r="P411" s="499">
        <f aca="true" t="shared" si="17" ref="P411:P439">E411+J411</f>
        <v>549</v>
      </c>
      <c r="T411" s="254">
        <f aca="true" t="shared" si="18" ref="T411:T438">P411+F411</f>
        <v>549</v>
      </c>
      <c r="W411" s="499"/>
      <c r="X411" s="254"/>
      <c r="Y411" s="254"/>
      <c r="Z411" s="254"/>
    </row>
    <row r="412" spans="1:26" s="250" customFormat="1" ht="15.75">
      <c r="A412" s="485" t="s">
        <v>46</v>
      </c>
      <c r="B412" s="489">
        <f>B15+B150</f>
        <v>17271</v>
      </c>
      <c r="C412" s="489">
        <f>C15+C150</f>
        <v>4188</v>
      </c>
      <c r="D412" s="489">
        <f>D15+D150</f>
        <v>851</v>
      </c>
      <c r="E412" s="489">
        <f>E15+E150</f>
        <v>4218</v>
      </c>
      <c r="F412" s="489">
        <f>F15+F150</f>
        <v>0</v>
      </c>
      <c r="G412" s="250">
        <f t="shared" si="12"/>
        <v>0</v>
      </c>
      <c r="H412" s="250">
        <v>0</v>
      </c>
      <c r="I412" s="250">
        <v>0</v>
      </c>
      <c r="J412" s="250">
        <v>0</v>
      </c>
      <c r="K412" s="498">
        <f t="shared" si="13"/>
        <v>0</v>
      </c>
      <c r="M412" s="499">
        <f t="shared" si="14"/>
        <v>17271</v>
      </c>
      <c r="N412" s="499">
        <f t="shared" si="15"/>
        <v>4188</v>
      </c>
      <c r="O412" s="499">
        <f t="shared" si="16"/>
        <v>851</v>
      </c>
      <c r="P412" s="499">
        <f t="shared" si="17"/>
        <v>4218</v>
      </c>
      <c r="T412" s="254">
        <f t="shared" si="18"/>
        <v>4218</v>
      </c>
      <c r="W412" s="499"/>
      <c r="X412" s="254"/>
      <c r="Y412" s="254"/>
      <c r="Z412" s="254"/>
    </row>
    <row r="413" spans="1:26" s="250" customFormat="1" ht="15.75">
      <c r="A413" s="485" t="s">
        <v>444</v>
      </c>
      <c r="B413" s="489">
        <f>B16+B74+B151+B108</f>
        <v>8531</v>
      </c>
      <c r="C413" s="489">
        <f>C16+C74+C151+C108</f>
        <v>2480</v>
      </c>
      <c r="D413" s="489">
        <f>D16+D74+D151+D108</f>
        <v>341</v>
      </c>
      <c r="E413" s="489">
        <f>E16+E74+E151+E108</f>
        <v>1969</v>
      </c>
      <c r="F413" s="489">
        <f>F16+F74+F151+F108</f>
        <v>0</v>
      </c>
      <c r="G413" s="250">
        <f t="shared" si="12"/>
        <v>190</v>
      </c>
      <c r="H413" s="250">
        <v>17</v>
      </c>
      <c r="I413" s="250">
        <v>5</v>
      </c>
      <c r="J413" s="250">
        <v>58</v>
      </c>
      <c r="K413" s="498">
        <f>SUM(H413:J413)</f>
        <v>80</v>
      </c>
      <c r="M413" s="499">
        <f t="shared" si="14"/>
        <v>8721</v>
      </c>
      <c r="N413" s="499">
        <f t="shared" si="15"/>
        <v>2497</v>
      </c>
      <c r="O413" s="499">
        <f t="shared" si="16"/>
        <v>346</v>
      </c>
      <c r="P413" s="499">
        <f t="shared" si="17"/>
        <v>2027</v>
      </c>
      <c r="T413" s="254">
        <f t="shared" si="18"/>
        <v>2027</v>
      </c>
      <c r="W413" s="492"/>
      <c r="X413" s="254"/>
      <c r="Y413" s="254"/>
      <c r="Z413" s="254"/>
    </row>
    <row r="414" spans="1:26" s="250" customFormat="1" ht="15.75">
      <c r="A414" s="486" t="s">
        <v>445</v>
      </c>
      <c r="B414" s="489">
        <f>B17</f>
        <v>989</v>
      </c>
      <c r="C414" s="489">
        <f>C17</f>
        <v>600</v>
      </c>
      <c r="D414" s="489">
        <f>D17</f>
        <v>0</v>
      </c>
      <c r="E414" s="489">
        <f>E17</f>
        <v>134</v>
      </c>
      <c r="F414" s="489">
        <f>F17</f>
        <v>0</v>
      </c>
      <c r="G414" s="250">
        <f t="shared" si="12"/>
        <v>72</v>
      </c>
      <c r="H414" s="250">
        <v>14</v>
      </c>
      <c r="J414" s="250">
        <v>20</v>
      </c>
      <c r="K414" s="498">
        <f t="shared" si="13"/>
        <v>34</v>
      </c>
      <c r="M414" s="499">
        <f t="shared" si="14"/>
        <v>1061</v>
      </c>
      <c r="N414" s="499">
        <f t="shared" si="15"/>
        <v>614</v>
      </c>
      <c r="O414" s="499">
        <f t="shared" si="16"/>
        <v>0</v>
      </c>
      <c r="P414" s="499">
        <f t="shared" si="17"/>
        <v>154</v>
      </c>
      <c r="T414" s="254">
        <f t="shared" si="18"/>
        <v>154</v>
      </c>
      <c r="W414" s="492"/>
      <c r="X414" s="254"/>
      <c r="Y414" s="254"/>
      <c r="Z414" s="254"/>
    </row>
    <row r="415" spans="1:26" s="250" customFormat="1" ht="15.75">
      <c r="A415" s="486" t="s">
        <v>446</v>
      </c>
      <c r="B415" s="489">
        <f>B152</f>
        <v>2438</v>
      </c>
      <c r="C415" s="489">
        <f>C152</f>
        <v>631</v>
      </c>
      <c r="D415" s="489">
        <f>D152</f>
        <v>171</v>
      </c>
      <c r="E415" s="489">
        <f>E152</f>
        <v>564</v>
      </c>
      <c r="F415" s="489">
        <f>F152</f>
        <v>0</v>
      </c>
      <c r="G415" s="250">
        <f t="shared" si="12"/>
        <v>12</v>
      </c>
      <c r="H415" s="250">
        <v>0</v>
      </c>
      <c r="I415" s="250">
        <v>0</v>
      </c>
      <c r="J415" s="250">
        <v>4</v>
      </c>
      <c r="K415" s="498">
        <f t="shared" si="13"/>
        <v>4</v>
      </c>
      <c r="M415" s="499">
        <f t="shared" si="14"/>
        <v>2450</v>
      </c>
      <c r="N415" s="499">
        <f t="shared" si="15"/>
        <v>631</v>
      </c>
      <c r="O415" s="499">
        <f t="shared" si="16"/>
        <v>171</v>
      </c>
      <c r="P415" s="499">
        <f t="shared" si="17"/>
        <v>568</v>
      </c>
      <c r="T415" s="254">
        <f t="shared" si="18"/>
        <v>568</v>
      </c>
      <c r="W415" s="499"/>
      <c r="X415" s="254"/>
      <c r="Y415" s="254"/>
      <c r="Z415" s="254"/>
    </row>
    <row r="416" spans="1:26" s="250" customFormat="1" ht="15.75">
      <c r="A416" s="485" t="s">
        <v>447</v>
      </c>
      <c r="B416" s="489">
        <f>B18+B50+B153</f>
        <v>34251</v>
      </c>
      <c r="C416" s="489">
        <f>C18+C50+C153</f>
        <v>8781</v>
      </c>
      <c r="D416" s="489">
        <f>D18+D50+D153</f>
        <v>573</v>
      </c>
      <c r="E416" s="489">
        <f>E18+E50+E153</f>
        <v>8245</v>
      </c>
      <c r="F416" s="489">
        <f>F18+F50+F153</f>
        <v>986</v>
      </c>
      <c r="G416" s="250">
        <f t="shared" si="12"/>
        <v>508</v>
      </c>
      <c r="H416" s="250">
        <v>218</v>
      </c>
      <c r="I416" s="250">
        <v>0</v>
      </c>
      <c r="J416" s="250">
        <v>100</v>
      </c>
      <c r="K416" s="498">
        <f t="shared" si="13"/>
        <v>318</v>
      </c>
      <c r="M416" s="499">
        <f t="shared" si="14"/>
        <v>34759</v>
      </c>
      <c r="N416" s="499">
        <f t="shared" si="15"/>
        <v>8999</v>
      </c>
      <c r="O416" s="499">
        <f t="shared" si="16"/>
        <v>573</v>
      </c>
      <c r="P416" s="499">
        <f t="shared" si="17"/>
        <v>8345</v>
      </c>
      <c r="T416" s="254">
        <f t="shared" si="18"/>
        <v>9331</v>
      </c>
      <c r="W416" s="499"/>
      <c r="X416" s="254"/>
      <c r="Y416" s="254"/>
      <c r="Z416" s="254"/>
    </row>
    <row r="417" spans="1:26" s="250" customFormat="1" ht="15.75">
      <c r="A417" s="487" t="s">
        <v>448</v>
      </c>
      <c r="B417" s="489">
        <f>B19+B84+B154+B118</f>
        <v>13169</v>
      </c>
      <c r="C417" s="489">
        <f>C19+C84+C154+C118</f>
        <v>3445</v>
      </c>
      <c r="D417" s="489">
        <f>D19+D84+D154+D118</f>
        <v>1249</v>
      </c>
      <c r="E417" s="489">
        <f>E19+E84+E154+E118</f>
        <v>2692</v>
      </c>
      <c r="F417" s="489">
        <f>F19+F84+F154+F118</f>
        <v>669</v>
      </c>
      <c r="G417" s="250">
        <f t="shared" si="12"/>
        <v>293</v>
      </c>
      <c r="H417" s="250">
        <v>100</v>
      </c>
      <c r="I417" s="250">
        <v>10</v>
      </c>
      <c r="J417" s="250">
        <v>63</v>
      </c>
      <c r="K417" s="498">
        <f t="shared" si="13"/>
        <v>173</v>
      </c>
      <c r="M417" s="499">
        <f t="shared" si="14"/>
        <v>13462</v>
      </c>
      <c r="N417" s="499">
        <f t="shared" si="15"/>
        <v>3545</v>
      </c>
      <c r="O417" s="499">
        <f t="shared" si="16"/>
        <v>1259</v>
      </c>
      <c r="P417" s="499">
        <f t="shared" si="17"/>
        <v>2755</v>
      </c>
      <c r="T417" s="254">
        <f t="shared" si="18"/>
        <v>3424</v>
      </c>
      <c r="W417" s="499"/>
      <c r="X417" s="254"/>
      <c r="Y417" s="254"/>
      <c r="Z417" s="254"/>
    </row>
    <row r="418" spans="1:26" s="250" customFormat="1" ht="15.75">
      <c r="A418" s="485" t="s">
        <v>449</v>
      </c>
      <c r="B418" s="489">
        <f>B20+B75+B156+B109</f>
        <v>14714</v>
      </c>
      <c r="C418" s="489">
        <f>C20+C75+C156+C109</f>
        <v>3260</v>
      </c>
      <c r="D418" s="489">
        <f>D20+D75+D156+D109</f>
        <v>837</v>
      </c>
      <c r="E418" s="489">
        <f>E20+E75+E156+E109</f>
        <v>3528</v>
      </c>
      <c r="F418" s="489">
        <f>F20+F75+F156+F109</f>
        <v>387</v>
      </c>
      <c r="G418" s="250">
        <f t="shared" si="12"/>
        <v>371</v>
      </c>
      <c r="H418" s="250">
        <v>180</v>
      </c>
      <c r="I418" s="250">
        <v>20</v>
      </c>
      <c r="J418" s="250">
        <v>59</v>
      </c>
      <c r="K418" s="498">
        <f t="shared" si="13"/>
        <v>259</v>
      </c>
      <c r="M418" s="499">
        <f t="shared" si="14"/>
        <v>15085</v>
      </c>
      <c r="N418" s="499">
        <f t="shared" si="15"/>
        <v>3440</v>
      </c>
      <c r="O418" s="499">
        <f t="shared" si="16"/>
        <v>857</v>
      </c>
      <c r="P418" s="499">
        <f t="shared" si="17"/>
        <v>3587</v>
      </c>
      <c r="T418" s="254">
        <f t="shared" si="18"/>
        <v>3974</v>
      </c>
      <c r="W418" s="499"/>
      <c r="X418" s="254"/>
      <c r="Y418" s="254"/>
      <c r="Z418" s="254"/>
    </row>
    <row r="419" spans="1:26" s="250" customFormat="1" ht="15.75">
      <c r="A419" s="486" t="s">
        <v>450</v>
      </c>
      <c r="B419" s="489">
        <f>B374</f>
        <v>97</v>
      </c>
      <c r="C419" s="489">
        <f>C374</f>
        <v>1</v>
      </c>
      <c r="D419" s="489">
        <f>D374</f>
        <v>0</v>
      </c>
      <c r="E419" s="489">
        <f>E374</f>
        <v>33</v>
      </c>
      <c r="F419" s="489">
        <f>F374</f>
        <v>0</v>
      </c>
      <c r="G419" s="250">
        <f t="shared" si="12"/>
        <v>23</v>
      </c>
      <c r="H419" s="250">
        <v>11</v>
      </c>
      <c r="I419" s="250">
        <v>0</v>
      </c>
      <c r="J419" s="250">
        <v>4</v>
      </c>
      <c r="K419" s="498">
        <f t="shared" si="13"/>
        <v>15</v>
      </c>
      <c r="M419" s="499">
        <f t="shared" si="14"/>
        <v>120</v>
      </c>
      <c r="N419" s="499">
        <f t="shared" si="15"/>
        <v>12</v>
      </c>
      <c r="O419" s="499">
        <f t="shared" si="16"/>
        <v>0</v>
      </c>
      <c r="P419" s="499">
        <f t="shared" si="17"/>
        <v>37</v>
      </c>
      <c r="T419" s="254">
        <f t="shared" si="18"/>
        <v>37</v>
      </c>
      <c r="W419" s="492"/>
      <c r="X419" s="254"/>
      <c r="Y419" s="254"/>
      <c r="Z419" s="254"/>
    </row>
    <row r="420" spans="1:26" s="250" customFormat="1" ht="15.75">
      <c r="A420" s="486" t="s">
        <v>468</v>
      </c>
      <c r="B420" s="489">
        <f>B386+B155</f>
        <v>1992</v>
      </c>
      <c r="C420" s="489">
        <f>C386+C155</f>
        <v>0</v>
      </c>
      <c r="D420" s="489">
        <f>D386+D155</f>
        <v>0</v>
      </c>
      <c r="E420" s="489">
        <f>E386+E155</f>
        <v>687</v>
      </c>
      <c r="F420" s="489">
        <f>F386+F155</f>
        <v>0</v>
      </c>
      <c r="G420" s="250">
        <f t="shared" si="12"/>
        <v>0</v>
      </c>
      <c r="H420" s="250">
        <v>0</v>
      </c>
      <c r="I420" s="250">
        <v>0</v>
      </c>
      <c r="J420" s="250">
        <v>0</v>
      </c>
      <c r="K420" s="498">
        <f t="shared" si="13"/>
        <v>0</v>
      </c>
      <c r="M420" s="499">
        <f t="shared" si="14"/>
        <v>1992</v>
      </c>
      <c r="N420" s="499">
        <f t="shared" si="15"/>
        <v>0</v>
      </c>
      <c r="O420" s="499">
        <f t="shared" si="16"/>
        <v>0</v>
      </c>
      <c r="P420" s="499">
        <f t="shared" si="17"/>
        <v>687</v>
      </c>
      <c r="T420" s="254">
        <f t="shared" si="18"/>
        <v>687</v>
      </c>
      <c r="W420" s="499"/>
      <c r="X420" s="254"/>
      <c r="Y420" s="254"/>
      <c r="Z420" s="254"/>
    </row>
    <row r="421" spans="1:26" s="250" customFormat="1" ht="15.75">
      <c r="A421" s="485" t="s">
        <v>451</v>
      </c>
      <c r="B421" s="489">
        <f>B21+B85+B157+B119</f>
        <v>42002</v>
      </c>
      <c r="C421" s="489">
        <f>C21+C85+C157+C119</f>
        <v>10712</v>
      </c>
      <c r="D421" s="489">
        <f>D21+D85+D157+D119</f>
        <v>1822</v>
      </c>
      <c r="E421" s="489">
        <f>E21+E85+E157+E119</f>
        <v>9275</v>
      </c>
      <c r="F421" s="489">
        <f>F21+F85+F157+F119</f>
        <v>2570</v>
      </c>
      <c r="G421" s="250">
        <f t="shared" si="12"/>
        <v>509</v>
      </c>
      <c r="H421" s="250">
        <v>350</v>
      </c>
      <c r="I421" s="250">
        <v>14</v>
      </c>
      <c r="J421" s="250">
        <v>50</v>
      </c>
      <c r="K421" s="498">
        <f t="shared" si="13"/>
        <v>414</v>
      </c>
      <c r="M421" s="499">
        <f t="shared" si="14"/>
        <v>42511</v>
      </c>
      <c r="N421" s="499">
        <f t="shared" si="15"/>
        <v>11062</v>
      </c>
      <c r="O421" s="499">
        <f t="shared" si="16"/>
        <v>1836</v>
      </c>
      <c r="P421" s="499">
        <f t="shared" si="17"/>
        <v>9325</v>
      </c>
      <c r="T421" s="254">
        <f t="shared" si="18"/>
        <v>11895</v>
      </c>
      <c r="W421" s="499"/>
      <c r="X421" s="254"/>
      <c r="Y421" s="254"/>
      <c r="Z421" s="254"/>
    </row>
    <row r="422" spans="1:26" s="250" customFormat="1" ht="15.75">
      <c r="A422" s="486" t="s">
        <v>452</v>
      </c>
      <c r="B422" s="488">
        <f>B22</f>
        <v>1593</v>
      </c>
      <c r="C422" s="488">
        <f>C22</f>
        <v>303</v>
      </c>
      <c r="D422" s="488">
        <f>D22</f>
        <v>373</v>
      </c>
      <c r="E422" s="488">
        <f>E22</f>
        <v>316</v>
      </c>
      <c r="F422" s="488">
        <f>F22</f>
        <v>0</v>
      </c>
      <c r="G422" s="250">
        <f t="shared" si="12"/>
        <v>128</v>
      </c>
      <c r="H422" s="250">
        <v>7</v>
      </c>
      <c r="I422" s="250">
        <v>5</v>
      </c>
      <c r="J422" s="250">
        <v>40</v>
      </c>
      <c r="K422" s="498">
        <f t="shared" si="13"/>
        <v>52</v>
      </c>
      <c r="M422" s="499">
        <f t="shared" si="14"/>
        <v>1721</v>
      </c>
      <c r="N422" s="499">
        <f t="shared" si="15"/>
        <v>310</v>
      </c>
      <c r="O422" s="499">
        <f t="shared" si="16"/>
        <v>378</v>
      </c>
      <c r="P422" s="499">
        <f t="shared" si="17"/>
        <v>356</v>
      </c>
      <c r="T422" s="254">
        <f t="shared" si="18"/>
        <v>356</v>
      </c>
      <c r="W422" s="492"/>
      <c r="X422" s="254"/>
      <c r="Y422" s="254"/>
      <c r="Z422" s="254"/>
    </row>
    <row r="423" spans="1:26" s="250" customFormat="1" ht="15.75">
      <c r="A423" s="485" t="s">
        <v>453</v>
      </c>
      <c r="B423" s="489">
        <f>B23+B86+B120</f>
        <v>923</v>
      </c>
      <c r="C423" s="489">
        <f>C23+C86+C120+C392</f>
        <v>430</v>
      </c>
      <c r="D423" s="489">
        <f>D23+D86+D120+D392</f>
        <v>0</v>
      </c>
      <c r="E423" s="489">
        <f>E23+E86+E120+E392</f>
        <v>172</v>
      </c>
      <c r="F423" s="489">
        <f>F23+F86+F120+F392</f>
        <v>0</v>
      </c>
      <c r="G423" s="250">
        <f t="shared" si="12"/>
        <v>80</v>
      </c>
      <c r="H423" s="250">
        <v>15</v>
      </c>
      <c r="I423" s="250">
        <v>7</v>
      </c>
      <c r="J423" s="250">
        <v>20</v>
      </c>
      <c r="K423" s="498">
        <f t="shared" si="13"/>
        <v>42</v>
      </c>
      <c r="M423" s="499">
        <f t="shared" si="14"/>
        <v>1003</v>
      </c>
      <c r="N423" s="499">
        <f t="shared" si="15"/>
        <v>445</v>
      </c>
      <c r="O423" s="499">
        <f t="shared" si="16"/>
        <v>7</v>
      </c>
      <c r="P423" s="499">
        <f t="shared" si="17"/>
        <v>192</v>
      </c>
      <c r="T423" s="254">
        <f t="shared" si="18"/>
        <v>192</v>
      </c>
      <c r="W423" s="492"/>
      <c r="X423" s="254"/>
      <c r="Y423" s="254"/>
      <c r="Z423" s="254"/>
    </row>
    <row r="424" spans="1:26" s="250" customFormat="1" ht="15.75">
      <c r="A424" s="485" t="s">
        <v>454</v>
      </c>
      <c r="B424" s="489">
        <f>B24+B53+B76+B110</f>
        <v>26244</v>
      </c>
      <c r="C424" s="489">
        <f>C24+C53+C76+C110</f>
        <v>4223</v>
      </c>
      <c r="D424" s="489">
        <f>D24+D53+D76+D110</f>
        <v>187</v>
      </c>
      <c r="E424" s="489">
        <f>E24+E53+E76+E110</f>
        <v>6400</v>
      </c>
      <c r="F424" s="489">
        <f>F24+F53+F76+F110</f>
        <v>3274</v>
      </c>
      <c r="G424" s="250">
        <f t="shared" si="12"/>
        <v>906</v>
      </c>
      <c r="H424" s="250">
        <v>500</v>
      </c>
      <c r="J424" s="250">
        <v>140</v>
      </c>
      <c r="K424" s="498">
        <f t="shared" si="13"/>
        <v>640</v>
      </c>
      <c r="M424" s="499">
        <f t="shared" si="14"/>
        <v>27150</v>
      </c>
      <c r="N424" s="499">
        <f t="shared" si="15"/>
        <v>4723</v>
      </c>
      <c r="O424" s="499">
        <f t="shared" si="16"/>
        <v>187</v>
      </c>
      <c r="P424" s="499">
        <f t="shared" si="17"/>
        <v>6540</v>
      </c>
      <c r="T424" s="254">
        <f t="shared" si="18"/>
        <v>9814</v>
      </c>
      <c r="W424" s="499"/>
      <c r="X424" s="254"/>
      <c r="Y424" s="254"/>
      <c r="Z424" s="254"/>
    </row>
    <row r="425" spans="1:26" s="250" customFormat="1" ht="15.75">
      <c r="A425" s="485" t="s">
        <v>455</v>
      </c>
      <c r="B425" s="489">
        <f>B25+B87+B158+B375+B121</f>
        <v>30627</v>
      </c>
      <c r="C425" s="489">
        <f>C25+C87+C158+C375+C121</f>
        <v>8945</v>
      </c>
      <c r="D425" s="489">
        <f>D25+D87+D158+D375+D121</f>
        <v>1497</v>
      </c>
      <c r="E425" s="489">
        <f>E25+E87+E158+E375+E121</f>
        <v>6766</v>
      </c>
      <c r="F425" s="489">
        <f>F25+F87+F158+F375+F121</f>
        <v>563</v>
      </c>
      <c r="G425" s="250">
        <f t="shared" si="12"/>
        <v>602</v>
      </c>
      <c r="H425" s="250">
        <v>300</v>
      </c>
      <c r="I425" s="250">
        <v>50</v>
      </c>
      <c r="J425" s="250">
        <v>87</v>
      </c>
      <c r="K425" s="498">
        <f t="shared" si="13"/>
        <v>437</v>
      </c>
      <c r="M425" s="499">
        <f t="shared" si="14"/>
        <v>31229</v>
      </c>
      <c r="N425" s="499">
        <f t="shared" si="15"/>
        <v>9245</v>
      </c>
      <c r="O425" s="499">
        <f t="shared" si="16"/>
        <v>1547</v>
      </c>
      <c r="P425" s="499">
        <f t="shared" si="17"/>
        <v>6853</v>
      </c>
      <c r="T425" s="254">
        <f t="shared" si="18"/>
        <v>7416</v>
      </c>
      <c r="W425" s="499"/>
      <c r="X425" s="254"/>
      <c r="Y425" s="254"/>
      <c r="Z425" s="254"/>
    </row>
    <row r="426" spans="1:26" s="250" customFormat="1" ht="15.75">
      <c r="A426" s="485" t="s">
        <v>456</v>
      </c>
      <c r="B426" s="489">
        <f>B26+B89+B105+B159+B390+B123</f>
        <v>37638</v>
      </c>
      <c r="C426" s="489">
        <f>C26+C89+C105+C159+C390+C123</f>
        <v>10571</v>
      </c>
      <c r="D426" s="489">
        <f>D26+D89+D105+D159+D390+D123</f>
        <v>1648</v>
      </c>
      <c r="E426" s="489">
        <f>E26+E89+E105+E159+E390+E123</f>
        <v>8328</v>
      </c>
      <c r="F426" s="489">
        <f>F26+F89+F105+F159+F390+F123</f>
        <v>1267</v>
      </c>
      <c r="G426" s="250">
        <f t="shared" si="12"/>
        <v>741</v>
      </c>
      <c r="H426" s="250">
        <v>300</v>
      </c>
      <c r="I426" s="250">
        <v>70</v>
      </c>
      <c r="J426" s="250">
        <v>128</v>
      </c>
      <c r="K426" s="498">
        <f t="shared" si="13"/>
        <v>498</v>
      </c>
      <c r="M426" s="499">
        <f t="shared" si="14"/>
        <v>38379</v>
      </c>
      <c r="N426" s="499">
        <f t="shared" si="15"/>
        <v>10871</v>
      </c>
      <c r="O426" s="499">
        <f t="shared" si="16"/>
        <v>1718</v>
      </c>
      <c r="P426" s="499">
        <f t="shared" si="17"/>
        <v>8456</v>
      </c>
      <c r="T426" s="254">
        <f t="shared" si="18"/>
        <v>9723</v>
      </c>
      <c r="W426" s="499"/>
      <c r="X426" s="254"/>
      <c r="Y426" s="254"/>
      <c r="Z426" s="254"/>
    </row>
    <row r="427" spans="1:26" s="250" customFormat="1" ht="15.75">
      <c r="A427" s="485" t="s">
        <v>457</v>
      </c>
      <c r="B427" s="489">
        <f>B27+B91+B178+B125</f>
        <v>192633</v>
      </c>
      <c r="C427" s="489">
        <f>C27+C91+C178+C125</f>
        <v>73705</v>
      </c>
      <c r="D427" s="489">
        <f>D27+D91+D178+D125</f>
        <v>17468</v>
      </c>
      <c r="E427" s="489">
        <f>E27+E91+E178+E125</f>
        <v>34986</v>
      </c>
      <c r="F427" s="489">
        <f>F27+F91+F178+F125</f>
        <v>0</v>
      </c>
      <c r="G427" s="250">
        <f t="shared" si="12"/>
        <v>1696</v>
      </c>
      <c r="H427" s="250">
        <v>800</v>
      </c>
      <c r="I427" s="250">
        <v>200</v>
      </c>
      <c r="J427" s="250">
        <v>240</v>
      </c>
      <c r="K427" s="498">
        <f t="shared" si="13"/>
        <v>1240</v>
      </c>
      <c r="M427" s="499">
        <f t="shared" si="14"/>
        <v>194329</v>
      </c>
      <c r="N427" s="499">
        <f t="shared" si="15"/>
        <v>74505</v>
      </c>
      <c r="O427" s="499">
        <f t="shared" si="16"/>
        <v>17668</v>
      </c>
      <c r="P427" s="499">
        <f t="shared" si="17"/>
        <v>35226</v>
      </c>
      <c r="T427" s="254">
        <f t="shared" si="18"/>
        <v>35226</v>
      </c>
      <c r="W427" s="499"/>
      <c r="X427" s="254"/>
      <c r="Y427" s="254"/>
      <c r="Z427" s="254"/>
    </row>
    <row r="428" spans="1:26" s="250" customFormat="1" ht="15.75">
      <c r="A428" s="485" t="s">
        <v>458</v>
      </c>
      <c r="B428" s="489">
        <f>B32+B160</f>
        <v>2893</v>
      </c>
      <c r="C428" s="489">
        <f>C32+C160</f>
        <v>862</v>
      </c>
      <c r="D428" s="489">
        <f>D32+D160</f>
        <v>68</v>
      </c>
      <c r="E428" s="489">
        <f>E32+E160</f>
        <v>677</v>
      </c>
      <c r="F428" s="489">
        <f>F32+F160</f>
        <v>0</v>
      </c>
      <c r="G428" s="250">
        <f t="shared" si="12"/>
        <v>54</v>
      </c>
      <c r="H428" s="250">
        <v>8</v>
      </c>
      <c r="I428" s="250">
        <v>2</v>
      </c>
      <c r="J428" s="250">
        <v>15</v>
      </c>
      <c r="K428" s="498">
        <f t="shared" si="13"/>
        <v>25</v>
      </c>
      <c r="M428" s="499">
        <f t="shared" si="14"/>
        <v>2947</v>
      </c>
      <c r="N428" s="499">
        <f t="shared" si="15"/>
        <v>870</v>
      </c>
      <c r="O428" s="499">
        <f t="shared" si="16"/>
        <v>70</v>
      </c>
      <c r="P428" s="499">
        <f t="shared" si="17"/>
        <v>692</v>
      </c>
      <c r="T428" s="254">
        <f t="shared" si="18"/>
        <v>692</v>
      </c>
      <c r="W428" s="492"/>
      <c r="X428" s="254"/>
      <c r="Y428" s="254"/>
      <c r="Z428" s="254"/>
    </row>
    <row r="429" spans="1:26" s="250" customFormat="1" ht="15.75">
      <c r="A429" s="485" t="s">
        <v>459</v>
      </c>
      <c r="B429" s="489">
        <f aca="true" t="shared" si="19" ref="B429:F430">B33</f>
        <v>1120</v>
      </c>
      <c r="C429" s="489">
        <f t="shared" si="19"/>
        <v>528</v>
      </c>
      <c r="D429" s="489">
        <f t="shared" si="19"/>
        <v>0</v>
      </c>
      <c r="E429" s="489">
        <f t="shared" si="19"/>
        <v>204</v>
      </c>
      <c r="F429" s="489">
        <f t="shared" si="19"/>
        <v>0</v>
      </c>
      <c r="G429" s="250">
        <f t="shared" si="12"/>
        <v>93</v>
      </c>
      <c r="H429" s="250">
        <v>0</v>
      </c>
      <c r="I429" s="250">
        <v>0</v>
      </c>
      <c r="J429" s="250">
        <v>32</v>
      </c>
      <c r="K429" s="498">
        <f t="shared" si="13"/>
        <v>32</v>
      </c>
      <c r="M429" s="499">
        <f t="shared" si="14"/>
        <v>1213</v>
      </c>
      <c r="N429" s="499">
        <f t="shared" si="15"/>
        <v>528</v>
      </c>
      <c r="O429" s="499">
        <f t="shared" si="16"/>
        <v>0</v>
      </c>
      <c r="P429" s="499">
        <f t="shared" si="17"/>
        <v>236</v>
      </c>
      <c r="T429" s="254">
        <f t="shared" si="18"/>
        <v>236</v>
      </c>
      <c r="W429" s="499"/>
      <c r="X429" s="254"/>
      <c r="Y429" s="254"/>
      <c r="Z429" s="254"/>
    </row>
    <row r="430" spans="1:26" s="250" customFormat="1" ht="15.75">
      <c r="A430" s="486" t="s">
        <v>460</v>
      </c>
      <c r="B430" s="489">
        <f t="shared" si="19"/>
        <v>1966</v>
      </c>
      <c r="C430" s="489">
        <f t="shared" si="19"/>
        <v>545</v>
      </c>
      <c r="D430" s="489">
        <f t="shared" si="19"/>
        <v>0</v>
      </c>
      <c r="E430" s="489">
        <f t="shared" si="19"/>
        <v>490</v>
      </c>
      <c r="F430" s="489">
        <f t="shared" si="19"/>
        <v>0</v>
      </c>
      <c r="G430" s="250">
        <f t="shared" si="12"/>
        <v>31</v>
      </c>
      <c r="H430" s="250">
        <v>8</v>
      </c>
      <c r="I430" s="250">
        <v>0</v>
      </c>
      <c r="J430" s="250">
        <v>8</v>
      </c>
      <c r="K430" s="498">
        <f t="shared" si="13"/>
        <v>16</v>
      </c>
      <c r="M430" s="499">
        <f t="shared" si="14"/>
        <v>1997</v>
      </c>
      <c r="N430" s="499">
        <f t="shared" si="15"/>
        <v>553</v>
      </c>
      <c r="O430" s="499">
        <f t="shared" si="16"/>
        <v>0</v>
      </c>
      <c r="P430" s="499">
        <f t="shared" si="17"/>
        <v>498</v>
      </c>
      <c r="T430" s="254">
        <f t="shared" si="18"/>
        <v>498</v>
      </c>
      <c r="W430" s="492"/>
      <c r="X430" s="254"/>
      <c r="Y430" s="254"/>
      <c r="Z430" s="254"/>
    </row>
    <row r="431" spans="1:26" s="250" customFormat="1" ht="15.75">
      <c r="A431" s="485" t="s">
        <v>35</v>
      </c>
      <c r="B431" s="489">
        <f>B35+B161+B357+B360+B364+B368+B376+B384+B380</f>
        <v>250684</v>
      </c>
      <c r="C431" s="489">
        <f>C35+C161+C357+C360+C364+C368+C376+C384+C380</f>
        <v>65085</v>
      </c>
      <c r="D431" s="489">
        <f>D35+D161+D357+D360+D364+D368+D376+D384+D380</f>
        <v>14427</v>
      </c>
      <c r="E431" s="489">
        <f>E35+E161+E357+E360+E364+E368+E376+E384+E380</f>
        <v>59025</v>
      </c>
      <c r="F431" s="489">
        <f>F35+F161+F357+F360+F364+F368+F376+F384+F380</f>
        <v>0</v>
      </c>
      <c r="G431" s="250">
        <f t="shared" si="12"/>
        <v>1156</v>
      </c>
      <c r="H431" s="250">
        <v>418</v>
      </c>
      <c r="I431" s="250">
        <v>500</v>
      </c>
      <c r="J431" s="250">
        <v>82</v>
      </c>
      <c r="K431" s="498">
        <f t="shared" si="13"/>
        <v>1000</v>
      </c>
      <c r="M431" s="499">
        <f t="shared" si="14"/>
        <v>251840</v>
      </c>
      <c r="N431" s="499">
        <f t="shared" si="15"/>
        <v>65503</v>
      </c>
      <c r="O431" s="499">
        <f t="shared" si="16"/>
        <v>14927</v>
      </c>
      <c r="P431" s="499">
        <f t="shared" si="17"/>
        <v>59107</v>
      </c>
      <c r="Q431" s="254">
        <f>N431+N437</f>
        <v>65728</v>
      </c>
      <c r="R431" s="254">
        <f>O431+O437</f>
        <v>14985</v>
      </c>
      <c r="S431" s="254">
        <f>P431+P437</f>
        <v>59310</v>
      </c>
      <c r="T431" s="254">
        <f t="shared" si="18"/>
        <v>59107</v>
      </c>
      <c r="W431" s="499"/>
      <c r="X431" s="254"/>
      <c r="Y431" s="254"/>
      <c r="Z431" s="254"/>
    </row>
    <row r="432" spans="1:26" s="250" customFormat="1" ht="15.75">
      <c r="A432" s="485" t="s">
        <v>469</v>
      </c>
      <c r="B432" s="489">
        <f>B36+B44+B98+B106+B165+B132+B45</f>
        <v>56670</v>
      </c>
      <c r="C432" s="489">
        <f>C36+C44+C98+C106+C165+C132+C45</f>
        <v>37574</v>
      </c>
      <c r="D432" s="489">
        <f>D36+D44+D98+D106+D165+D132+D45</f>
        <v>2195</v>
      </c>
      <c r="E432" s="489">
        <f>E36+E44+E98+E106+E165+E132+E45</f>
        <v>5828</v>
      </c>
      <c r="F432" s="489">
        <f>F36+F44+F98+F106+F165+F132+F45</f>
        <v>0</v>
      </c>
      <c r="G432" s="250">
        <f t="shared" si="12"/>
        <v>0</v>
      </c>
      <c r="K432" s="498">
        <f t="shared" si="13"/>
        <v>0</v>
      </c>
      <c r="M432" s="499">
        <f t="shared" si="14"/>
        <v>56670</v>
      </c>
      <c r="N432" s="499">
        <f t="shared" si="15"/>
        <v>37574</v>
      </c>
      <c r="O432" s="499">
        <f t="shared" si="16"/>
        <v>2195</v>
      </c>
      <c r="P432" s="499">
        <f t="shared" si="17"/>
        <v>5828</v>
      </c>
      <c r="T432" s="254">
        <f t="shared" si="18"/>
        <v>5828</v>
      </c>
      <c r="W432" s="492"/>
      <c r="X432" s="254"/>
      <c r="Y432" s="254"/>
      <c r="Z432" s="254"/>
    </row>
    <row r="433" spans="1:26" s="250" customFormat="1" ht="15.75">
      <c r="A433" s="485" t="s">
        <v>461</v>
      </c>
      <c r="B433" s="489">
        <f>B37+B54+B104+B166+B179</f>
        <v>220806</v>
      </c>
      <c r="C433" s="489">
        <f>C37+C54+C104+C166+C179</f>
        <v>64883</v>
      </c>
      <c r="D433" s="489">
        <f>D37+D54+D104+D166+D179</f>
        <v>12888</v>
      </c>
      <c r="E433" s="489">
        <f>E37+E54+E104+E166+E179</f>
        <v>42207</v>
      </c>
      <c r="F433" s="489">
        <f>F37+F54+F104+F166+F179</f>
        <v>20635</v>
      </c>
      <c r="G433" s="250">
        <f t="shared" si="12"/>
        <v>5983</v>
      </c>
      <c r="H433" s="250">
        <v>3011</v>
      </c>
      <c r="I433" s="250">
        <v>400</v>
      </c>
      <c r="J433" s="250">
        <v>887</v>
      </c>
      <c r="K433" s="498">
        <f>SUM(H433:J433)</f>
        <v>4298</v>
      </c>
      <c r="M433" s="499">
        <f t="shared" si="14"/>
        <v>226789</v>
      </c>
      <c r="N433" s="499">
        <f t="shared" si="15"/>
        <v>67894</v>
      </c>
      <c r="O433" s="499">
        <f t="shared" si="16"/>
        <v>13288</v>
      </c>
      <c r="P433" s="499">
        <f t="shared" si="17"/>
        <v>43094</v>
      </c>
      <c r="Q433" s="254">
        <f>N433+N412</f>
        <v>72082</v>
      </c>
      <c r="R433" s="254">
        <f>O433+O412</f>
        <v>14139</v>
      </c>
      <c r="S433" s="254">
        <f>P433+P412</f>
        <v>47312</v>
      </c>
      <c r="T433" s="254">
        <f t="shared" si="18"/>
        <v>63729</v>
      </c>
      <c r="W433" s="499"/>
      <c r="X433" s="254"/>
      <c r="Y433" s="254"/>
      <c r="Z433" s="254"/>
    </row>
    <row r="434" spans="1:26" s="250" customFormat="1" ht="15.75">
      <c r="A434" s="485" t="s">
        <v>462</v>
      </c>
      <c r="B434" s="489">
        <f>B42+B96+B171+B130</f>
        <v>39407</v>
      </c>
      <c r="C434" s="489">
        <f>C42+C96+C171+C130</f>
        <v>11390</v>
      </c>
      <c r="D434" s="489">
        <f>D42+D96+D171+D130</f>
        <v>3646</v>
      </c>
      <c r="E434" s="489">
        <f>E42+E96+E171+E130</f>
        <v>8343</v>
      </c>
      <c r="F434" s="489">
        <f>F42+F96+F171+F130</f>
        <v>176</v>
      </c>
      <c r="G434" s="250">
        <f t="shared" si="12"/>
        <v>1427</v>
      </c>
      <c r="H434" s="250">
        <v>357</v>
      </c>
      <c r="I434" s="250">
        <v>200</v>
      </c>
      <c r="J434" s="250">
        <v>300</v>
      </c>
      <c r="K434" s="498">
        <f t="shared" si="13"/>
        <v>857</v>
      </c>
      <c r="M434" s="499">
        <f t="shared" si="14"/>
        <v>40834</v>
      </c>
      <c r="N434" s="499">
        <f t="shared" si="15"/>
        <v>11747</v>
      </c>
      <c r="O434" s="499">
        <f t="shared" si="16"/>
        <v>3846</v>
      </c>
      <c r="P434" s="499">
        <f t="shared" si="17"/>
        <v>8643</v>
      </c>
      <c r="T434" s="254">
        <f t="shared" si="18"/>
        <v>8819</v>
      </c>
      <c r="W434" s="492"/>
      <c r="X434" s="254"/>
      <c r="Y434" s="254"/>
      <c r="Z434" s="254"/>
    </row>
    <row r="435" spans="1:26" s="250" customFormat="1" ht="15.75">
      <c r="A435" s="485" t="s">
        <v>463</v>
      </c>
      <c r="B435" s="489">
        <f>B43+B77+B172+B372+B371+B111</f>
        <v>15184</v>
      </c>
      <c r="C435" s="489">
        <f>C43+C77+C172+C372+C371+C111</f>
        <v>4134</v>
      </c>
      <c r="D435" s="489">
        <f>D43+D77+D172+D372+D371+D111</f>
        <v>706</v>
      </c>
      <c r="E435" s="489">
        <f>E43+E77+E172+E372+E371+E111</f>
        <v>3482</v>
      </c>
      <c r="F435" s="489">
        <f>F43+F77+F172+F372+F371+F111</f>
        <v>246</v>
      </c>
      <c r="G435" s="250">
        <f t="shared" si="12"/>
        <v>245</v>
      </c>
      <c r="H435" s="250">
        <v>50</v>
      </c>
      <c r="I435" s="250">
        <v>50</v>
      </c>
      <c r="J435" s="250">
        <v>50</v>
      </c>
      <c r="K435" s="498">
        <f t="shared" si="13"/>
        <v>150</v>
      </c>
      <c r="M435" s="499">
        <f t="shared" si="14"/>
        <v>15429</v>
      </c>
      <c r="N435" s="499">
        <f t="shared" si="15"/>
        <v>4184</v>
      </c>
      <c r="O435" s="499">
        <f t="shared" si="16"/>
        <v>756</v>
      </c>
      <c r="P435" s="499">
        <f t="shared" si="17"/>
        <v>3532</v>
      </c>
      <c r="T435" s="254">
        <f t="shared" si="18"/>
        <v>3778</v>
      </c>
      <c r="W435" s="499"/>
      <c r="X435" s="254"/>
      <c r="Y435" s="254"/>
      <c r="Z435" s="254"/>
    </row>
    <row r="436" spans="1:26" s="250" customFormat="1" ht="15.75">
      <c r="A436" s="485" t="s">
        <v>464</v>
      </c>
      <c r="B436" s="489">
        <f>B46+B79+B173+B373+B113</f>
        <v>47980</v>
      </c>
      <c r="C436" s="489">
        <f>C46+C79+C173+C373+C113</f>
        <v>11195</v>
      </c>
      <c r="D436" s="489">
        <f>D46+D79+D173+D373+D113</f>
        <v>6054</v>
      </c>
      <c r="E436" s="489">
        <f>E46+E79+E173+E373+E113</f>
        <v>10257</v>
      </c>
      <c r="F436" s="489">
        <f>F46+F79+F173+F373+F113</f>
        <v>986</v>
      </c>
      <c r="G436" s="250">
        <f t="shared" si="12"/>
        <v>4159</v>
      </c>
      <c r="H436" s="250">
        <v>1194</v>
      </c>
      <c r="I436" s="250">
        <v>512</v>
      </c>
      <c r="J436" s="250">
        <v>846</v>
      </c>
      <c r="K436" s="498">
        <f t="shared" si="13"/>
        <v>2552</v>
      </c>
      <c r="M436" s="499">
        <f t="shared" si="14"/>
        <v>52139</v>
      </c>
      <c r="N436" s="499">
        <f t="shared" si="15"/>
        <v>12389</v>
      </c>
      <c r="O436" s="499">
        <f t="shared" si="16"/>
        <v>6566</v>
      </c>
      <c r="P436" s="499">
        <f t="shared" si="17"/>
        <v>11103</v>
      </c>
      <c r="T436" s="254">
        <f t="shared" si="18"/>
        <v>12089</v>
      </c>
      <c r="W436" s="499"/>
      <c r="X436" s="254"/>
      <c r="Y436" s="254"/>
      <c r="Z436" s="254"/>
    </row>
    <row r="437" spans="1:26" s="250" customFormat="1" ht="15.75">
      <c r="A437" s="486" t="s">
        <v>465</v>
      </c>
      <c r="B437" s="489">
        <f>B174</f>
        <v>833</v>
      </c>
      <c r="C437" s="489">
        <f>C174</f>
        <v>215</v>
      </c>
      <c r="D437" s="489">
        <f>D174</f>
        <v>58</v>
      </c>
      <c r="E437" s="489">
        <f>E174</f>
        <v>193</v>
      </c>
      <c r="F437" s="489">
        <f>F174</f>
        <v>0</v>
      </c>
      <c r="G437" s="250">
        <f t="shared" si="12"/>
        <v>39</v>
      </c>
      <c r="H437" s="250">
        <v>10</v>
      </c>
      <c r="I437" s="250">
        <v>0</v>
      </c>
      <c r="J437" s="250">
        <v>10</v>
      </c>
      <c r="K437" s="498">
        <f t="shared" si="13"/>
        <v>20</v>
      </c>
      <c r="M437" s="499">
        <f t="shared" si="14"/>
        <v>872</v>
      </c>
      <c r="N437" s="499">
        <f t="shared" si="15"/>
        <v>225</v>
      </c>
      <c r="O437" s="499">
        <f t="shared" si="16"/>
        <v>58</v>
      </c>
      <c r="P437" s="499">
        <f t="shared" si="17"/>
        <v>203</v>
      </c>
      <c r="T437" s="254">
        <f t="shared" si="18"/>
        <v>203</v>
      </c>
      <c r="W437" s="492"/>
      <c r="X437" s="254"/>
      <c r="Y437" s="254"/>
      <c r="Z437" s="254"/>
    </row>
    <row r="438" spans="1:26" s="250" customFormat="1" ht="15.75">
      <c r="A438" s="485" t="s">
        <v>466</v>
      </c>
      <c r="B438" s="489">
        <f>B47+B81+B175+B115</f>
        <v>22099</v>
      </c>
      <c r="C438" s="489">
        <f>C47+C81+C175+C115</f>
        <v>5411</v>
      </c>
      <c r="D438" s="489">
        <f>D47+D81+D175+D115</f>
        <v>1134</v>
      </c>
      <c r="E438" s="489">
        <f>E47+E81+E175+E115</f>
        <v>4902</v>
      </c>
      <c r="F438" s="489">
        <f>F47+F81+F175+F115</f>
        <v>1339</v>
      </c>
      <c r="G438" s="250">
        <f t="shared" si="12"/>
        <v>362</v>
      </c>
      <c r="H438" s="250">
        <v>52</v>
      </c>
      <c r="I438" s="250">
        <v>20</v>
      </c>
      <c r="J438" s="250">
        <v>100</v>
      </c>
      <c r="K438" s="498">
        <f t="shared" si="13"/>
        <v>172</v>
      </c>
      <c r="M438" s="499">
        <f t="shared" si="14"/>
        <v>22461</v>
      </c>
      <c r="N438" s="499">
        <f t="shared" si="15"/>
        <v>5463</v>
      </c>
      <c r="O438" s="499">
        <f t="shared" si="16"/>
        <v>1154</v>
      </c>
      <c r="P438" s="499">
        <f t="shared" si="17"/>
        <v>5002</v>
      </c>
      <c r="T438" s="254">
        <f t="shared" si="18"/>
        <v>6341</v>
      </c>
      <c r="W438" s="499"/>
      <c r="X438" s="254"/>
      <c r="Y438" s="254"/>
      <c r="Z438" s="254"/>
    </row>
    <row r="439" spans="1:26" s="250" customFormat="1" ht="15.75">
      <c r="A439" s="490" t="s">
        <v>32</v>
      </c>
      <c r="B439" s="491">
        <f aca="true" t="shared" si="20" ref="B439:J439">SUM(B410:B438)</f>
        <v>1153313</v>
      </c>
      <c r="C439" s="491">
        <f t="shared" si="20"/>
        <v>358892</v>
      </c>
      <c r="D439" s="491">
        <f t="shared" si="20"/>
        <v>70516</v>
      </c>
      <c r="E439" s="491">
        <f t="shared" si="20"/>
        <v>237485</v>
      </c>
      <c r="F439" s="491">
        <f t="shared" si="20"/>
        <v>35204</v>
      </c>
      <c r="G439" s="502">
        <f t="shared" si="20"/>
        <v>21028</v>
      </c>
      <c r="H439" s="502">
        <f t="shared" si="20"/>
        <v>8331</v>
      </c>
      <c r="I439" s="502">
        <f t="shared" si="20"/>
        <v>2115</v>
      </c>
      <c r="J439" s="502">
        <f t="shared" si="20"/>
        <v>3649</v>
      </c>
      <c r="K439" s="498"/>
      <c r="M439" s="503">
        <f>SUM(M410:M438)</f>
        <v>1174341</v>
      </c>
      <c r="N439" s="503">
        <f t="shared" si="15"/>
        <v>367223</v>
      </c>
      <c r="O439" s="503">
        <f t="shared" si="16"/>
        <v>72631</v>
      </c>
      <c r="P439" s="503">
        <f t="shared" si="17"/>
        <v>241134</v>
      </c>
      <c r="W439" s="492"/>
      <c r="X439" s="492"/>
      <c r="Y439" s="492"/>
      <c r="Z439" s="492"/>
    </row>
    <row r="440" spans="2:26" s="250" customFormat="1" ht="15">
      <c r="B440" s="254">
        <f>B439-(B396-B395)</f>
        <v>0</v>
      </c>
      <c r="C440" s="254">
        <f>C439-(C396-C395)</f>
        <v>0</v>
      </c>
      <c r="D440" s="254">
        <f>D439-(D396-D395)</f>
        <v>0</v>
      </c>
      <c r="E440" s="254">
        <f>E439-(E396-E395)</f>
        <v>0</v>
      </c>
      <c r="F440" s="254">
        <f>F439-(F396-F395)</f>
        <v>0</v>
      </c>
      <c r="G440" s="497">
        <f>G439-B395</f>
        <v>0</v>
      </c>
      <c r="H440" s="497">
        <f>H439-C395</f>
        <v>0</v>
      </c>
      <c r="I440" s="497">
        <f>I439-D395</f>
        <v>0</v>
      </c>
      <c r="J440" s="497">
        <f>J439-E395</f>
        <v>0</v>
      </c>
      <c r="N440" s="499">
        <f>N439-C396</f>
        <v>0</v>
      </c>
      <c r="O440" s="499">
        <f>O439-D396</f>
        <v>0</v>
      </c>
      <c r="P440" s="499">
        <f>P439-E396</f>
        <v>0</v>
      </c>
      <c r="W440" s="492"/>
      <c r="Y440" s="254"/>
      <c r="Z440" s="492"/>
    </row>
    <row r="441" spans="1:26" s="250" customFormat="1" ht="15">
      <c r="A441" s="250" t="s">
        <v>491</v>
      </c>
      <c r="B441" s="254">
        <f>SUM(C441:F441)</f>
        <v>1071029.2</v>
      </c>
      <c r="C441" s="329">
        <f>C439-C420-C397</f>
        <v>278595</v>
      </c>
      <c r="D441" s="329">
        <f>D439-D420</f>
        <v>70516</v>
      </c>
      <c r="E441" s="329">
        <f>(E439-E420)*2.9</f>
        <v>686714.2</v>
      </c>
      <c r="F441" s="254">
        <f>F439</f>
        <v>35204</v>
      </c>
      <c r="I441" s="254"/>
      <c r="K441" s="254"/>
      <c r="L441" s="254"/>
      <c r="M441" s="254"/>
      <c r="N441" s="254"/>
      <c r="O441" s="254"/>
      <c r="W441" s="254"/>
      <c r="X441" s="254"/>
      <c r="Y441" s="254"/>
      <c r="Z441" s="254"/>
    </row>
    <row r="442" spans="1:20" s="250" customFormat="1" ht="15">
      <c r="A442" s="250" t="s">
        <v>489</v>
      </c>
      <c r="B442" s="254">
        <f>SUM(C442:F442)</f>
        <v>14095</v>
      </c>
      <c r="C442" s="329">
        <f>C395</f>
        <v>8331</v>
      </c>
      <c r="D442" s="329">
        <f>D395</f>
        <v>2115</v>
      </c>
      <c r="E442" s="329">
        <f>E395</f>
        <v>3649</v>
      </c>
      <c r="F442" s="254">
        <f>F395</f>
        <v>0</v>
      </c>
      <c r="N442" s="254">
        <f>N433+N412</f>
        <v>72082</v>
      </c>
      <c r="O442" s="254">
        <f>O433+O412</f>
        <v>14139</v>
      </c>
      <c r="P442" s="254">
        <f>P433+P412</f>
        <v>47312</v>
      </c>
      <c r="Q442" s="254"/>
      <c r="T442" s="254">
        <f>T433+T412</f>
        <v>67947</v>
      </c>
    </row>
    <row r="443" spans="1:6" s="250" customFormat="1" ht="15">
      <c r="A443" s="250" t="s">
        <v>490</v>
      </c>
      <c r="B443" s="254">
        <f>SUM(C443:E443)</f>
        <v>186255.3</v>
      </c>
      <c r="C443" s="495">
        <f>'1.1. ПРОФ.МЕРОПРИЯТИЯ'!B26+'1.1. ПРОФ.МЕРОПРИЯТИЯ'!G26</f>
        <v>184263</v>
      </c>
      <c r="D443" s="330"/>
      <c r="E443" s="329">
        <f>E420*2.9</f>
        <v>1992.3</v>
      </c>
      <c r="F443" s="254">
        <f>F420*10</f>
        <v>0</v>
      </c>
    </row>
    <row r="444" spans="1:6" s="250" customFormat="1" ht="15">
      <c r="A444" s="250" t="s">
        <v>470</v>
      </c>
      <c r="B444" s="492">
        <f>SUM(B441:B443)</f>
        <v>1271379.5</v>
      </c>
      <c r="C444" s="330"/>
      <c r="D444" s="330"/>
      <c r="E444" s="329"/>
      <c r="F444" s="254"/>
    </row>
    <row r="445" spans="3:6" s="250" customFormat="1" ht="15">
      <c r="C445" s="330"/>
      <c r="D445" s="330"/>
      <c r="E445" s="329"/>
      <c r="F445" s="254"/>
    </row>
    <row r="446" spans="3:6" s="250" customFormat="1" ht="15">
      <c r="C446" s="330"/>
      <c r="D446" s="330"/>
      <c r="E446" s="329"/>
      <c r="F446" s="254"/>
    </row>
    <row r="447" spans="3:6" s="250" customFormat="1" ht="15">
      <c r="C447" s="330"/>
      <c r="D447" s="330"/>
      <c r="E447" s="329"/>
      <c r="F447" s="254"/>
    </row>
    <row r="448" spans="3:6" s="250" customFormat="1" ht="15">
      <c r="C448" s="330"/>
      <c r="D448" s="330"/>
      <c r="E448" s="329"/>
      <c r="F448" s="254"/>
    </row>
    <row r="449" spans="3:6" s="250" customFormat="1" ht="15">
      <c r="C449" s="330"/>
      <c r="D449" s="330"/>
      <c r="E449" s="329"/>
      <c r="F449" s="254"/>
    </row>
    <row r="450" spans="3:6" s="250" customFormat="1" ht="15">
      <c r="C450" s="330"/>
      <c r="D450" s="330"/>
      <c r="E450" s="329"/>
      <c r="F450" s="254"/>
    </row>
    <row r="451" spans="3:6" s="250" customFormat="1" ht="15">
      <c r="C451" s="330"/>
      <c r="D451" s="330"/>
      <c r="E451" s="329"/>
      <c r="F451" s="254"/>
    </row>
    <row r="452" spans="3:6" s="250" customFormat="1" ht="15">
      <c r="C452" s="330"/>
      <c r="D452" s="330"/>
      <c r="E452" s="329"/>
      <c r="F452" s="254"/>
    </row>
    <row r="453" spans="3:6" s="250" customFormat="1" ht="15">
      <c r="C453" s="330"/>
      <c r="D453" s="330"/>
      <c r="E453" s="329"/>
      <c r="F453" s="254"/>
    </row>
    <row r="454" spans="3:6" s="250" customFormat="1" ht="15">
      <c r="C454" s="330"/>
      <c r="D454" s="330"/>
      <c r="E454" s="329"/>
      <c r="F454" s="254"/>
    </row>
    <row r="455" spans="3:6" s="250" customFormat="1" ht="15">
      <c r="C455" s="330"/>
      <c r="D455" s="330"/>
      <c r="E455" s="329"/>
      <c r="F455" s="254"/>
    </row>
    <row r="456" spans="3:6" s="250" customFormat="1" ht="15">
      <c r="C456" s="330"/>
      <c r="D456" s="330"/>
      <c r="E456" s="329"/>
      <c r="F456" s="254"/>
    </row>
    <row r="457" spans="3:6" s="250" customFormat="1" ht="15">
      <c r="C457" s="330"/>
      <c r="D457" s="330"/>
      <c r="E457" s="329"/>
      <c r="F457" s="254"/>
    </row>
    <row r="458" spans="3:6" s="250" customFormat="1" ht="15">
      <c r="C458" s="330"/>
      <c r="D458" s="330"/>
      <c r="E458" s="329"/>
      <c r="F458" s="254"/>
    </row>
    <row r="459" spans="3:6" s="250" customFormat="1" ht="15">
      <c r="C459" s="330"/>
      <c r="D459" s="330"/>
      <c r="E459" s="329"/>
      <c r="F459" s="254"/>
    </row>
    <row r="460" spans="3:6" s="250" customFormat="1" ht="15">
      <c r="C460" s="330"/>
      <c r="D460" s="330"/>
      <c r="E460" s="329"/>
      <c r="F460" s="254"/>
    </row>
    <row r="461" spans="3:6" s="250" customFormat="1" ht="15">
      <c r="C461" s="330"/>
      <c r="D461" s="330"/>
      <c r="E461" s="329"/>
      <c r="F461" s="254"/>
    </row>
    <row r="462" spans="3:6" s="250" customFormat="1" ht="15">
      <c r="C462" s="330"/>
      <c r="D462" s="330"/>
      <c r="E462" s="329"/>
      <c r="F462" s="254"/>
    </row>
    <row r="463" spans="3:6" s="250" customFormat="1" ht="15">
      <c r="C463" s="330"/>
      <c r="D463" s="330"/>
      <c r="E463" s="329"/>
      <c r="F463" s="254"/>
    </row>
    <row r="464" spans="3:6" s="250" customFormat="1" ht="15">
      <c r="C464" s="330"/>
      <c r="D464" s="330"/>
      <c r="E464" s="329"/>
      <c r="F464" s="254"/>
    </row>
    <row r="465" spans="3:6" s="250" customFormat="1" ht="15">
      <c r="C465" s="330"/>
      <c r="D465" s="330"/>
      <c r="E465" s="329"/>
      <c r="F465" s="254"/>
    </row>
    <row r="466" spans="3:6" s="250" customFormat="1" ht="15">
      <c r="C466" s="330"/>
      <c r="D466" s="330"/>
      <c r="E466" s="329"/>
      <c r="F466" s="254"/>
    </row>
    <row r="467" spans="3:6" s="250" customFormat="1" ht="15">
      <c r="C467" s="330"/>
      <c r="D467" s="330"/>
      <c r="E467" s="329"/>
      <c r="F467" s="254"/>
    </row>
    <row r="468" spans="3:6" s="250" customFormat="1" ht="15">
      <c r="C468" s="330"/>
      <c r="D468" s="330"/>
      <c r="E468" s="329"/>
      <c r="F468" s="254"/>
    </row>
    <row r="469" spans="3:6" s="250" customFormat="1" ht="15">
      <c r="C469" s="330"/>
      <c r="D469" s="330"/>
      <c r="E469" s="329"/>
      <c r="F469" s="254"/>
    </row>
    <row r="470" spans="3:6" s="250" customFormat="1" ht="15">
      <c r="C470" s="330"/>
      <c r="D470" s="330"/>
      <c r="E470" s="329"/>
      <c r="F470" s="254"/>
    </row>
    <row r="471" spans="3:6" s="250" customFormat="1" ht="15">
      <c r="C471" s="330"/>
      <c r="D471" s="330"/>
      <c r="E471" s="329"/>
      <c r="F471" s="254"/>
    </row>
    <row r="472" spans="3:6" s="250" customFormat="1" ht="15">
      <c r="C472" s="330"/>
      <c r="D472" s="330"/>
      <c r="E472" s="329"/>
      <c r="F472" s="254"/>
    </row>
    <row r="473" spans="3:6" s="250" customFormat="1" ht="15">
      <c r="C473" s="330"/>
      <c r="D473" s="330"/>
      <c r="E473" s="329"/>
      <c r="F473" s="254"/>
    </row>
    <row r="474" spans="3:6" s="250" customFormat="1" ht="15">
      <c r="C474" s="330"/>
      <c r="D474" s="330"/>
      <c r="E474" s="329"/>
      <c r="F474" s="254"/>
    </row>
    <row r="475" spans="3:6" s="250" customFormat="1" ht="15">
      <c r="C475" s="330"/>
      <c r="D475" s="330"/>
      <c r="E475" s="329"/>
      <c r="F475" s="254"/>
    </row>
    <row r="476" spans="3:6" s="250" customFormat="1" ht="15">
      <c r="C476" s="330"/>
      <c r="D476" s="330"/>
      <c r="E476" s="329"/>
      <c r="F476" s="254"/>
    </row>
    <row r="477" spans="3:6" s="250" customFormat="1" ht="15">
      <c r="C477" s="330"/>
      <c r="D477" s="330"/>
      <c r="E477" s="329"/>
      <c r="F477" s="254"/>
    </row>
    <row r="478" spans="3:6" s="250" customFormat="1" ht="15">
      <c r="C478" s="330"/>
      <c r="D478" s="330"/>
      <c r="E478" s="329"/>
      <c r="F478" s="254"/>
    </row>
    <row r="479" spans="3:6" s="250" customFormat="1" ht="15">
      <c r="C479" s="330"/>
      <c r="D479" s="330"/>
      <c r="E479" s="329"/>
      <c r="F479" s="254"/>
    </row>
    <row r="480" spans="3:6" s="250" customFormat="1" ht="15">
      <c r="C480" s="330"/>
      <c r="D480" s="330"/>
      <c r="E480" s="329"/>
      <c r="F480" s="254"/>
    </row>
    <row r="481" spans="3:6" s="250" customFormat="1" ht="15">
      <c r="C481" s="330"/>
      <c r="D481" s="330"/>
      <c r="E481" s="329"/>
      <c r="F481" s="254"/>
    </row>
    <row r="482" spans="3:6" s="250" customFormat="1" ht="15">
      <c r="C482" s="330"/>
      <c r="D482" s="330"/>
      <c r="E482" s="329"/>
      <c r="F482" s="254"/>
    </row>
    <row r="483" spans="3:6" s="250" customFormat="1" ht="15">
      <c r="C483" s="330"/>
      <c r="D483" s="330"/>
      <c r="E483" s="329"/>
      <c r="F483" s="254"/>
    </row>
    <row r="484" spans="3:6" s="250" customFormat="1" ht="15">
      <c r="C484" s="330"/>
      <c r="D484" s="330"/>
      <c r="E484" s="329"/>
      <c r="F484" s="254"/>
    </row>
    <row r="485" spans="3:6" s="250" customFormat="1" ht="15">
      <c r="C485" s="330"/>
      <c r="D485" s="330"/>
      <c r="E485" s="329"/>
      <c r="F485" s="254"/>
    </row>
    <row r="486" spans="3:6" s="250" customFormat="1" ht="15">
      <c r="C486" s="330"/>
      <c r="D486" s="330"/>
      <c r="E486" s="329"/>
      <c r="F486" s="254"/>
    </row>
    <row r="487" spans="3:6" s="250" customFormat="1" ht="15">
      <c r="C487" s="330"/>
      <c r="D487" s="330"/>
      <c r="E487" s="329"/>
      <c r="F487" s="254"/>
    </row>
    <row r="488" spans="3:6" s="250" customFormat="1" ht="15">
      <c r="C488" s="330"/>
      <c r="D488" s="330"/>
      <c r="E488" s="329"/>
      <c r="F488" s="254"/>
    </row>
    <row r="489" spans="3:6" s="250" customFormat="1" ht="15">
      <c r="C489" s="330"/>
      <c r="D489" s="330"/>
      <c r="E489" s="329"/>
      <c r="F489" s="254"/>
    </row>
    <row r="490" spans="3:6" s="250" customFormat="1" ht="15">
      <c r="C490" s="330"/>
      <c r="D490" s="330"/>
      <c r="E490" s="329"/>
      <c r="F490" s="254"/>
    </row>
    <row r="491" spans="3:6" s="250" customFormat="1" ht="15">
      <c r="C491" s="330"/>
      <c r="D491" s="330"/>
      <c r="E491" s="329"/>
      <c r="F491" s="254"/>
    </row>
    <row r="492" spans="3:6" s="250" customFormat="1" ht="15">
      <c r="C492" s="330"/>
      <c r="D492" s="330"/>
      <c r="E492" s="329"/>
      <c r="F492" s="254"/>
    </row>
    <row r="493" spans="3:6" s="250" customFormat="1" ht="15">
      <c r="C493" s="330"/>
      <c r="D493" s="330"/>
      <c r="E493" s="329"/>
      <c r="F493" s="254"/>
    </row>
    <row r="494" spans="3:6" s="250" customFormat="1" ht="15">
      <c r="C494" s="330"/>
      <c r="D494" s="330"/>
      <c r="E494" s="329"/>
      <c r="F494" s="254"/>
    </row>
    <row r="495" spans="3:6" s="250" customFormat="1" ht="15">
      <c r="C495" s="330"/>
      <c r="D495" s="330"/>
      <c r="E495" s="329"/>
      <c r="F495" s="254"/>
    </row>
    <row r="496" spans="3:6" s="250" customFormat="1" ht="15">
      <c r="C496" s="330"/>
      <c r="D496" s="330"/>
      <c r="E496" s="329"/>
      <c r="F496" s="254"/>
    </row>
    <row r="497" spans="3:6" s="250" customFormat="1" ht="15">
      <c r="C497" s="330"/>
      <c r="D497" s="330"/>
      <c r="E497" s="329"/>
      <c r="F497" s="254"/>
    </row>
    <row r="498" spans="3:6" s="250" customFormat="1" ht="15">
      <c r="C498" s="330"/>
      <c r="D498" s="330"/>
      <c r="E498" s="329"/>
      <c r="F498" s="254"/>
    </row>
    <row r="499" spans="3:6" s="250" customFormat="1" ht="15">
      <c r="C499" s="330"/>
      <c r="D499" s="330"/>
      <c r="E499" s="329"/>
      <c r="F499" s="254"/>
    </row>
    <row r="500" spans="3:6" s="250" customFormat="1" ht="15">
      <c r="C500" s="330"/>
      <c r="D500" s="330"/>
      <c r="E500" s="329"/>
      <c r="F500" s="254"/>
    </row>
    <row r="501" spans="3:6" s="250" customFormat="1" ht="15">
      <c r="C501" s="330"/>
      <c r="D501" s="330"/>
      <c r="E501" s="329"/>
      <c r="F501" s="254"/>
    </row>
    <row r="502" spans="3:6" s="250" customFormat="1" ht="15">
      <c r="C502" s="330"/>
      <c r="D502" s="330"/>
      <c r="E502" s="329"/>
      <c r="F502" s="254"/>
    </row>
    <row r="503" spans="3:6" s="250" customFormat="1" ht="15">
      <c r="C503" s="330"/>
      <c r="D503" s="330"/>
      <c r="E503" s="329"/>
      <c r="F503" s="254"/>
    </row>
    <row r="504" spans="3:6" s="250" customFormat="1" ht="15">
      <c r="C504" s="330"/>
      <c r="D504" s="330"/>
      <c r="E504" s="329"/>
      <c r="F504" s="254"/>
    </row>
    <row r="505" spans="3:6" s="250" customFormat="1" ht="15">
      <c r="C505" s="330"/>
      <c r="D505" s="330"/>
      <c r="E505" s="329"/>
      <c r="F505" s="254"/>
    </row>
    <row r="506" spans="3:6" s="250" customFormat="1" ht="15">
      <c r="C506" s="330"/>
      <c r="D506" s="330"/>
      <c r="E506" s="329"/>
      <c r="F506" s="254"/>
    </row>
    <row r="507" spans="3:6" s="250" customFormat="1" ht="15">
      <c r="C507" s="330"/>
      <c r="D507" s="330"/>
      <c r="E507" s="329"/>
      <c r="F507" s="254"/>
    </row>
    <row r="508" spans="3:6" s="250" customFormat="1" ht="15">
      <c r="C508" s="330"/>
      <c r="D508" s="330"/>
      <c r="E508" s="329"/>
      <c r="F508" s="254"/>
    </row>
    <row r="509" spans="3:6" s="250" customFormat="1" ht="15">
      <c r="C509" s="330"/>
      <c r="D509" s="330"/>
      <c r="E509" s="329"/>
      <c r="F509" s="254"/>
    </row>
    <row r="510" spans="3:6" s="250" customFormat="1" ht="15">
      <c r="C510" s="330"/>
      <c r="D510" s="330"/>
      <c r="E510" s="329"/>
      <c r="F510" s="254"/>
    </row>
    <row r="511" spans="3:6" s="250" customFormat="1" ht="15">
      <c r="C511" s="330"/>
      <c r="D511" s="330"/>
      <c r="E511" s="329"/>
      <c r="F511" s="254"/>
    </row>
    <row r="512" spans="3:6" s="250" customFormat="1" ht="15">
      <c r="C512" s="330"/>
      <c r="D512" s="330"/>
      <c r="E512" s="329"/>
      <c r="F512" s="254"/>
    </row>
    <row r="513" spans="3:6" s="250" customFormat="1" ht="15">
      <c r="C513" s="330"/>
      <c r="D513" s="330"/>
      <c r="E513" s="329"/>
      <c r="F513" s="254"/>
    </row>
    <row r="514" spans="3:6" s="250" customFormat="1" ht="15">
      <c r="C514" s="330"/>
      <c r="D514" s="330"/>
      <c r="E514" s="329"/>
      <c r="F514" s="254"/>
    </row>
    <row r="515" spans="3:6" s="250" customFormat="1" ht="15">
      <c r="C515" s="330"/>
      <c r="D515" s="330"/>
      <c r="E515" s="329"/>
      <c r="F515" s="254"/>
    </row>
    <row r="516" spans="3:6" s="250" customFormat="1" ht="15">
      <c r="C516" s="330"/>
      <c r="D516" s="330"/>
      <c r="E516" s="329"/>
      <c r="F516" s="254"/>
    </row>
    <row r="517" spans="3:6" s="250" customFormat="1" ht="15">
      <c r="C517" s="330"/>
      <c r="D517" s="330"/>
      <c r="E517" s="329"/>
      <c r="F517" s="254"/>
    </row>
    <row r="518" spans="3:6" s="250" customFormat="1" ht="15">
      <c r="C518" s="330"/>
      <c r="D518" s="330"/>
      <c r="E518" s="329"/>
      <c r="F518" s="254"/>
    </row>
    <row r="519" spans="3:6" s="250" customFormat="1" ht="15">
      <c r="C519" s="330"/>
      <c r="D519" s="330"/>
      <c r="E519" s="329"/>
      <c r="F519" s="254"/>
    </row>
    <row r="520" spans="3:6" s="250" customFormat="1" ht="15">
      <c r="C520" s="330"/>
      <c r="D520" s="330"/>
      <c r="E520" s="329"/>
      <c r="F520" s="254"/>
    </row>
    <row r="521" spans="3:6" s="250" customFormat="1" ht="15">
      <c r="C521" s="330"/>
      <c r="D521" s="330"/>
      <c r="E521" s="329"/>
      <c r="F521" s="254"/>
    </row>
    <row r="522" spans="3:6" s="250" customFormat="1" ht="15">
      <c r="C522" s="330"/>
      <c r="D522" s="330"/>
      <c r="E522" s="329"/>
      <c r="F522" s="254"/>
    </row>
    <row r="523" spans="3:6" s="250" customFormat="1" ht="15">
      <c r="C523" s="330"/>
      <c r="D523" s="330"/>
      <c r="E523" s="329"/>
      <c r="F523" s="254"/>
    </row>
    <row r="524" spans="3:6" s="250" customFormat="1" ht="15">
      <c r="C524" s="330"/>
      <c r="D524" s="330"/>
      <c r="E524" s="329"/>
      <c r="F524" s="254"/>
    </row>
    <row r="525" spans="3:6" s="250" customFormat="1" ht="15">
      <c r="C525" s="330"/>
      <c r="D525" s="330"/>
      <c r="E525" s="329"/>
      <c r="F525" s="254"/>
    </row>
    <row r="526" spans="3:6" s="250" customFormat="1" ht="15">
      <c r="C526" s="330"/>
      <c r="D526" s="330"/>
      <c r="E526" s="329"/>
      <c r="F526" s="254"/>
    </row>
    <row r="527" spans="3:6" s="250" customFormat="1" ht="15">
      <c r="C527" s="330"/>
      <c r="D527" s="330"/>
      <c r="E527" s="329"/>
      <c r="F527" s="254"/>
    </row>
    <row r="528" spans="3:6" s="250" customFormat="1" ht="15">
      <c r="C528" s="330"/>
      <c r="D528" s="330"/>
      <c r="E528" s="329"/>
      <c r="F528" s="254"/>
    </row>
    <row r="529" spans="3:6" s="250" customFormat="1" ht="15">
      <c r="C529" s="330"/>
      <c r="D529" s="330"/>
      <c r="E529" s="329"/>
      <c r="F529" s="254"/>
    </row>
    <row r="530" spans="3:6" s="250" customFormat="1" ht="15">
      <c r="C530" s="330"/>
      <c r="D530" s="330"/>
      <c r="E530" s="329"/>
      <c r="F530" s="254"/>
    </row>
    <row r="531" spans="3:6" s="250" customFormat="1" ht="15">
      <c r="C531" s="330"/>
      <c r="D531" s="330"/>
      <c r="E531" s="329"/>
      <c r="F531" s="254"/>
    </row>
    <row r="532" spans="3:6" s="250" customFormat="1" ht="15">
      <c r="C532" s="330"/>
      <c r="D532" s="330"/>
      <c r="E532" s="329"/>
      <c r="F532" s="254"/>
    </row>
    <row r="533" spans="3:6" s="250" customFormat="1" ht="15">
      <c r="C533" s="330"/>
      <c r="D533" s="330"/>
      <c r="E533" s="329"/>
      <c r="F533" s="254"/>
    </row>
    <row r="534" spans="3:6" s="250" customFormat="1" ht="15">
      <c r="C534" s="330"/>
      <c r="D534" s="330"/>
      <c r="E534" s="329"/>
      <c r="F534" s="254"/>
    </row>
    <row r="535" spans="3:6" s="250" customFormat="1" ht="15">
      <c r="C535" s="330"/>
      <c r="D535" s="330"/>
      <c r="E535" s="329"/>
      <c r="F535" s="254"/>
    </row>
    <row r="536" spans="3:6" s="250" customFormat="1" ht="15">
      <c r="C536" s="330"/>
      <c r="D536" s="330"/>
      <c r="E536" s="329"/>
      <c r="F536" s="254"/>
    </row>
    <row r="537" spans="3:6" s="250" customFormat="1" ht="15">
      <c r="C537" s="330"/>
      <c r="D537" s="330"/>
      <c r="E537" s="329"/>
      <c r="F537" s="254"/>
    </row>
    <row r="538" spans="3:6" s="250" customFormat="1" ht="15">
      <c r="C538" s="330"/>
      <c r="D538" s="330"/>
      <c r="E538" s="329"/>
      <c r="F538" s="254"/>
    </row>
    <row r="539" spans="3:6" s="250" customFormat="1" ht="15">
      <c r="C539" s="330"/>
      <c r="D539" s="330"/>
      <c r="E539" s="329"/>
      <c r="F539" s="254"/>
    </row>
    <row r="540" spans="3:6" s="250" customFormat="1" ht="15">
      <c r="C540" s="330"/>
      <c r="D540" s="330"/>
      <c r="E540" s="329"/>
      <c r="F540" s="254"/>
    </row>
    <row r="541" spans="3:6" s="250" customFormat="1" ht="15">
      <c r="C541" s="330"/>
      <c r="D541" s="330"/>
      <c r="E541" s="329"/>
      <c r="F541" s="254"/>
    </row>
    <row r="542" spans="3:6" s="250" customFormat="1" ht="15">
      <c r="C542" s="330"/>
      <c r="D542" s="330"/>
      <c r="E542" s="329"/>
      <c r="F542" s="254"/>
    </row>
    <row r="543" spans="3:6" s="250" customFormat="1" ht="15">
      <c r="C543" s="330"/>
      <c r="D543" s="330"/>
      <c r="E543" s="329"/>
      <c r="F543" s="254"/>
    </row>
    <row r="544" spans="3:6" s="250" customFormat="1" ht="15">
      <c r="C544" s="330"/>
      <c r="D544" s="330"/>
      <c r="E544" s="329"/>
      <c r="F544" s="254"/>
    </row>
    <row r="545" spans="3:6" s="250" customFormat="1" ht="15">
      <c r="C545" s="330"/>
      <c r="D545" s="330"/>
      <c r="E545" s="329"/>
      <c r="F545" s="254"/>
    </row>
    <row r="546" spans="3:6" s="250" customFormat="1" ht="15">
      <c r="C546" s="330"/>
      <c r="D546" s="330"/>
      <c r="E546" s="329"/>
      <c r="F546" s="254"/>
    </row>
    <row r="547" spans="3:6" s="250" customFormat="1" ht="15">
      <c r="C547" s="330"/>
      <c r="D547" s="330"/>
      <c r="E547" s="329"/>
      <c r="F547" s="254"/>
    </row>
    <row r="548" spans="3:6" s="250" customFormat="1" ht="15">
      <c r="C548" s="330"/>
      <c r="D548" s="330"/>
      <c r="E548" s="329"/>
      <c r="F548" s="254"/>
    </row>
    <row r="549" spans="3:6" s="250" customFormat="1" ht="15">
      <c r="C549" s="330"/>
      <c r="D549" s="330"/>
      <c r="E549" s="329"/>
      <c r="F549" s="254"/>
    </row>
    <row r="550" spans="3:6" s="250" customFormat="1" ht="15">
      <c r="C550" s="330"/>
      <c r="D550" s="330"/>
      <c r="E550" s="329"/>
      <c r="F550" s="254"/>
    </row>
    <row r="551" spans="3:6" s="250" customFormat="1" ht="15">
      <c r="C551" s="330"/>
      <c r="D551" s="330"/>
      <c r="E551" s="329"/>
      <c r="F551" s="254"/>
    </row>
    <row r="552" spans="3:6" s="250" customFormat="1" ht="15">
      <c r="C552" s="330"/>
      <c r="D552" s="330"/>
      <c r="E552" s="329"/>
      <c r="F552" s="254"/>
    </row>
    <row r="553" spans="3:6" s="250" customFormat="1" ht="15">
      <c r="C553" s="330"/>
      <c r="D553" s="330"/>
      <c r="E553" s="329"/>
      <c r="F553" s="254"/>
    </row>
    <row r="554" spans="3:6" s="250" customFormat="1" ht="15">
      <c r="C554" s="330"/>
      <c r="D554" s="330"/>
      <c r="E554" s="329"/>
      <c r="F554" s="254"/>
    </row>
    <row r="555" spans="3:6" s="250" customFormat="1" ht="15">
      <c r="C555" s="330"/>
      <c r="D555" s="330"/>
      <c r="E555" s="329"/>
      <c r="F555" s="254"/>
    </row>
    <row r="556" spans="3:6" s="250" customFormat="1" ht="15">
      <c r="C556" s="330"/>
      <c r="D556" s="330"/>
      <c r="E556" s="329"/>
      <c r="F556" s="254"/>
    </row>
    <row r="557" spans="3:6" s="250" customFormat="1" ht="15">
      <c r="C557" s="330"/>
      <c r="D557" s="330"/>
      <c r="E557" s="329"/>
      <c r="F557" s="254"/>
    </row>
    <row r="558" spans="3:6" s="250" customFormat="1" ht="15">
      <c r="C558" s="330"/>
      <c r="D558" s="330"/>
      <c r="E558" s="329"/>
      <c r="F558" s="254"/>
    </row>
    <row r="559" spans="3:6" s="250" customFormat="1" ht="15">
      <c r="C559" s="330"/>
      <c r="D559" s="330"/>
      <c r="E559" s="329"/>
      <c r="F559" s="254"/>
    </row>
    <row r="560" spans="3:6" s="250" customFormat="1" ht="15">
      <c r="C560" s="330"/>
      <c r="D560" s="330"/>
      <c r="E560" s="329"/>
      <c r="F560" s="254"/>
    </row>
    <row r="561" spans="3:6" s="250" customFormat="1" ht="15">
      <c r="C561" s="330"/>
      <c r="D561" s="330"/>
      <c r="E561" s="329"/>
      <c r="F561" s="254"/>
    </row>
    <row r="562" spans="3:6" s="250" customFormat="1" ht="15">
      <c r="C562" s="330"/>
      <c r="D562" s="330"/>
      <c r="E562" s="329"/>
      <c r="F562" s="254"/>
    </row>
    <row r="563" spans="3:6" s="250" customFormat="1" ht="15">
      <c r="C563" s="330"/>
      <c r="D563" s="330"/>
      <c r="E563" s="329"/>
      <c r="F563" s="254"/>
    </row>
    <row r="564" spans="3:6" s="250" customFormat="1" ht="15">
      <c r="C564" s="330"/>
      <c r="D564" s="330"/>
      <c r="E564" s="329"/>
      <c r="F564" s="254"/>
    </row>
    <row r="565" spans="3:6" s="250" customFormat="1" ht="15">
      <c r="C565" s="330"/>
      <c r="D565" s="330"/>
      <c r="E565" s="329"/>
      <c r="F565" s="254"/>
    </row>
    <row r="566" spans="3:6" s="250" customFormat="1" ht="15">
      <c r="C566" s="330"/>
      <c r="D566" s="330"/>
      <c r="E566" s="329"/>
      <c r="F566" s="254"/>
    </row>
    <row r="567" spans="3:6" s="250" customFormat="1" ht="15">
      <c r="C567" s="330"/>
      <c r="D567" s="330"/>
      <c r="E567" s="329"/>
      <c r="F567" s="254"/>
    </row>
    <row r="568" spans="3:6" s="250" customFormat="1" ht="15">
      <c r="C568" s="330"/>
      <c r="D568" s="330"/>
      <c r="E568" s="329"/>
      <c r="F568" s="254"/>
    </row>
    <row r="569" spans="3:6" s="250" customFormat="1" ht="15">
      <c r="C569" s="330"/>
      <c r="D569" s="330"/>
      <c r="E569" s="329"/>
      <c r="F569" s="254"/>
    </row>
    <row r="570" spans="3:6" s="250" customFormat="1" ht="15">
      <c r="C570" s="330"/>
      <c r="D570" s="330"/>
      <c r="E570" s="329"/>
      <c r="F570" s="254"/>
    </row>
    <row r="571" spans="3:6" s="250" customFormat="1" ht="15">
      <c r="C571" s="330"/>
      <c r="D571" s="330"/>
      <c r="E571" s="329"/>
      <c r="F571" s="254"/>
    </row>
    <row r="572" spans="3:6" s="250" customFormat="1" ht="15">
      <c r="C572" s="330"/>
      <c r="D572" s="330"/>
      <c r="E572" s="329"/>
      <c r="F572" s="254"/>
    </row>
    <row r="573" spans="3:6" s="250" customFormat="1" ht="15">
      <c r="C573" s="330"/>
      <c r="D573" s="330"/>
      <c r="E573" s="329"/>
      <c r="F573" s="254"/>
    </row>
    <row r="574" spans="3:6" s="250" customFormat="1" ht="15">
      <c r="C574" s="330"/>
      <c r="D574" s="330"/>
      <c r="E574" s="329"/>
      <c r="F574" s="254"/>
    </row>
    <row r="575" spans="3:6" s="250" customFormat="1" ht="15">
      <c r="C575" s="330"/>
      <c r="D575" s="330"/>
      <c r="E575" s="329"/>
      <c r="F575" s="254"/>
    </row>
    <row r="576" spans="3:6" s="250" customFormat="1" ht="15">
      <c r="C576" s="330"/>
      <c r="D576" s="330"/>
      <c r="E576" s="329"/>
      <c r="F576" s="254"/>
    </row>
    <row r="577" spans="3:6" s="250" customFormat="1" ht="15">
      <c r="C577" s="330"/>
      <c r="D577" s="330"/>
      <c r="E577" s="329"/>
      <c r="F577" s="254"/>
    </row>
    <row r="578" spans="3:6" s="250" customFormat="1" ht="15">
      <c r="C578" s="330"/>
      <c r="D578" s="330"/>
      <c r="E578" s="329"/>
      <c r="F578" s="254"/>
    </row>
  </sheetData>
  <sheetProtection/>
  <mergeCells count="57">
    <mergeCell ref="B9:F9"/>
    <mergeCell ref="A101:F101"/>
    <mergeCell ref="A147:F147"/>
    <mergeCell ref="B10:B11"/>
    <mergeCell ref="A358:F358"/>
    <mergeCell ref="D1:F1"/>
    <mergeCell ref="D2:F2"/>
    <mergeCell ref="D3:F3"/>
    <mergeCell ref="A5:F5"/>
    <mergeCell ref="A7:F7"/>
    <mergeCell ref="A365:F365"/>
    <mergeCell ref="C4:E4"/>
    <mergeCell ref="A247:E247"/>
    <mergeCell ref="A308:E308"/>
    <mergeCell ref="A9:A12"/>
    <mergeCell ref="C10:F10"/>
    <mergeCell ref="A72:F72"/>
    <mergeCell ref="A68:E68"/>
    <mergeCell ref="A49:E49"/>
    <mergeCell ref="A13:F13"/>
    <mergeCell ref="A332:E332"/>
    <mergeCell ref="A381:F381"/>
    <mergeCell ref="A185:E185"/>
    <mergeCell ref="A208:E208"/>
    <mergeCell ref="A8:E8"/>
    <mergeCell ref="A57:E57"/>
    <mergeCell ref="A361:F361"/>
    <mergeCell ref="A369:F369"/>
    <mergeCell ref="A378:F378"/>
    <mergeCell ref="A229:E229"/>
    <mergeCell ref="A288:E288"/>
    <mergeCell ref="A388:F388"/>
    <mergeCell ref="A407:A409"/>
    <mergeCell ref="A51:E51"/>
    <mergeCell ref="A266:E266"/>
    <mergeCell ref="B407:B409"/>
    <mergeCell ref="A394:F394"/>
    <mergeCell ref="C407:F407"/>
    <mergeCell ref="A385:F385"/>
    <mergeCell ref="A355:F355"/>
    <mergeCell ref="N406:P406"/>
    <mergeCell ref="H406:J406"/>
    <mergeCell ref="N407:P407"/>
    <mergeCell ref="N408:N409"/>
    <mergeCell ref="O408:O409"/>
    <mergeCell ref="P408:P409"/>
    <mergeCell ref="M407:M409"/>
    <mergeCell ref="A391:F391"/>
    <mergeCell ref="C408:C409"/>
    <mergeCell ref="D408:D409"/>
    <mergeCell ref="E408:E409"/>
    <mergeCell ref="H407:J407"/>
    <mergeCell ref="H408:H409"/>
    <mergeCell ref="I408:I409"/>
    <mergeCell ref="J408:J409"/>
    <mergeCell ref="G407:G409"/>
    <mergeCell ref="F408:F409"/>
  </mergeCells>
  <printOptions/>
  <pageMargins left="0.7874015748031497" right="0.1968503937007874" top="0.7874015748031497" bottom="0.3937007874015748" header="0.5118110236220472" footer="0.5118110236220472"/>
  <pageSetup firstPageNumber="1" useFirstPageNumber="1" fitToHeight="14" horizontalDpi="600" verticalDpi="600" orientation="portrait" paperSize="9" scale="78" r:id="rId3"/>
  <headerFooter alignWithMargins="0">
    <oddFooter>&amp;C
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12"/>
  <sheetViews>
    <sheetView view="pageBreakPreview" zoomScale="120" zoomScaleSheetLayoutView="120" zoomScalePageLayoutView="0" workbookViewId="0" topLeftCell="A1">
      <selection activeCell="A2" sqref="A2:D2"/>
    </sheetView>
  </sheetViews>
  <sheetFormatPr defaultColWidth="9.140625" defaultRowHeight="12.75"/>
  <cols>
    <col min="1" max="1" width="29.421875" style="397" customWidth="1"/>
    <col min="2" max="2" width="20.57421875" style="397" customWidth="1"/>
    <col min="3" max="3" width="20.00390625" style="397" customWidth="1"/>
    <col min="4" max="4" width="13.8515625" style="397" customWidth="1"/>
    <col min="5" max="16384" width="9.140625" style="397" customWidth="1"/>
  </cols>
  <sheetData>
    <row r="1" ht="25.5" customHeight="1">
      <c r="D1" s="397" t="s">
        <v>385</v>
      </c>
    </row>
    <row r="2" spans="1:4" ht="27.75" customHeight="1">
      <c r="A2" s="784" t="s">
        <v>294</v>
      </c>
      <c r="B2" s="784"/>
      <c r="C2" s="784"/>
      <c r="D2" s="784"/>
    </row>
    <row r="3" spans="1:4" ht="93.75" customHeight="1">
      <c r="A3" s="783" t="s">
        <v>298</v>
      </c>
      <c r="B3" s="783"/>
      <c r="C3" s="783"/>
      <c r="D3" s="783"/>
    </row>
    <row r="4" spans="1:2" ht="12.75">
      <c r="A4" s="398"/>
      <c r="B4" s="404" t="s">
        <v>296</v>
      </c>
    </row>
    <row r="5" spans="1:2" ht="12.75">
      <c r="A5" s="398"/>
      <c r="B5" s="404"/>
    </row>
    <row r="6" spans="1:4" ht="27.75" customHeight="1">
      <c r="A6" s="782" t="s">
        <v>295</v>
      </c>
      <c r="B6" s="785" t="s">
        <v>299</v>
      </c>
      <c r="C6" s="786"/>
      <c r="D6" s="787"/>
    </row>
    <row r="7" spans="1:4" ht="29.25" customHeight="1">
      <c r="A7" s="782"/>
      <c r="B7" s="403"/>
      <c r="C7" s="403"/>
      <c r="D7" s="788" t="s">
        <v>7</v>
      </c>
    </row>
    <row r="8" spans="1:4" ht="42.75" customHeight="1">
      <c r="A8" s="782"/>
      <c r="B8" s="403"/>
      <c r="C8" s="403"/>
      <c r="D8" s="789"/>
    </row>
    <row r="9" spans="1:4" ht="24" customHeight="1">
      <c r="A9" s="399" t="s">
        <v>41</v>
      </c>
      <c r="B9" s="400"/>
      <c r="C9" s="400"/>
      <c r="D9" s="405">
        <f>SUM(B9:C9)</f>
        <v>0</v>
      </c>
    </row>
    <row r="10" spans="1:4" ht="24" customHeight="1">
      <c r="A10" s="399" t="s">
        <v>54</v>
      </c>
      <c r="B10" s="400"/>
      <c r="C10" s="400"/>
      <c r="D10" s="405">
        <f>SUM(B10:C10)</f>
        <v>0</v>
      </c>
    </row>
    <row r="11" spans="1:4" ht="24" customHeight="1">
      <c r="A11" s="399" t="s">
        <v>219</v>
      </c>
      <c r="B11" s="400"/>
      <c r="C11" s="400"/>
      <c r="D11" s="405">
        <f>SUM(B11:C11)</f>
        <v>0</v>
      </c>
    </row>
    <row r="12" spans="1:4" ht="24" customHeight="1">
      <c r="A12" s="401" t="s">
        <v>297</v>
      </c>
      <c r="B12" s="402">
        <f>SUM(B9:B11)</f>
        <v>0</v>
      </c>
      <c r="C12" s="402">
        <f>SUM(C9:C11)</f>
        <v>0</v>
      </c>
      <c r="D12" s="402">
        <f>SUM(D9:D11)</f>
        <v>0</v>
      </c>
    </row>
  </sheetData>
  <sheetProtection/>
  <mergeCells count="5">
    <mergeCell ref="A6:A8"/>
    <mergeCell ref="A3:D3"/>
    <mergeCell ref="A2:D2"/>
    <mergeCell ref="B6:D6"/>
    <mergeCell ref="D7:D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30"/>
  <sheetViews>
    <sheetView view="pageBreakPreview" zoomScale="85" zoomScaleSheetLayoutView="8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13" activeCellId="1" sqref="B13 G13"/>
    </sheetView>
  </sheetViews>
  <sheetFormatPr defaultColWidth="9.140625" defaultRowHeight="12.75"/>
  <cols>
    <col min="1" max="1" width="40.7109375" style="273" customWidth="1"/>
    <col min="2" max="2" width="19.8515625" style="273" customWidth="1"/>
    <col min="3" max="3" width="18.57421875" style="273" customWidth="1"/>
    <col min="4" max="4" width="18.7109375" style="273" customWidth="1"/>
    <col min="5" max="5" width="19.140625" style="278" customWidth="1"/>
    <col min="6" max="6" width="17.421875" style="273" customWidth="1"/>
    <col min="7" max="7" width="17.00390625" style="273" customWidth="1"/>
    <col min="8" max="8" width="14.28125" style="273" customWidth="1"/>
    <col min="9" max="9" width="13.28125" style="273" customWidth="1"/>
    <col min="10" max="16384" width="9.140625" style="273" customWidth="1"/>
  </cols>
  <sheetData>
    <row r="1" spans="4:9" ht="21" customHeight="1">
      <c r="D1" s="274"/>
      <c r="E1" s="274"/>
      <c r="G1" s="275"/>
      <c r="H1" s="275"/>
      <c r="I1" s="273" t="s">
        <v>386</v>
      </c>
    </row>
    <row r="2" spans="4:8" ht="21" customHeight="1">
      <c r="D2" s="274"/>
      <c r="E2" s="274"/>
      <c r="G2" s="275"/>
      <c r="H2" s="275"/>
    </row>
    <row r="3" spans="1:9" ht="31.5" customHeight="1">
      <c r="A3" s="724" t="str">
        <f>'1. АМП'!A5:E5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24"/>
      <c r="C3" s="724"/>
      <c r="D3" s="724"/>
      <c r="E3" s="724"/>
      <c r="F3" s="724"/>
      <c r="G3" s="724"/>
      <c r="H3" s="724"/>
      <c r="I3" s="724"/>
    </row>
    <row r="4" spans="1:9" ht="21.75" customHeight="1">
      <c r="A4" s="725" t="s">
        <v>391</v>
      </c>
      <c r="B4" s="725"/>
      <c r="C4" s="725"/>
      <c r="D4" s="725"/>
      <c r="E4" s="725"/>
      <c r="F4" s="725"/>
      <c r="G4" s="725"/>
      <c r="H4" s="725"/>
      <c r="I4" s="725"/>
    </row>
    <row r="5" spans="2:8" ht="15.75">
      <c r="B5" s="289"/>
      <c r="C5" s="289"/>
      <c r="D5" s="289"/>
      <c r="E5" s="289"/>
      <c r="F5" s="289"/>
      <c r="G5" s="289"/>
      <c r="H5" s="289"/>
    </row>
    <row r="6" spans="1:9" ht="15.75">
      <c r="A6" s="722" t="s">
        <v>205</v>
      </c>
      <c r="B6" s="727" t="s">
        <v>247</v>
      </c>
      <c r="C6" s="730" t="s">
        <v>206</v>
      </c>
      <c r="D6" s="730"/>
      <c r="E6" s="730"/>
      <c r="F6" s="359"/>
      <c r="G6" s="727" t="s">
        <v>248</v>
      </c>
      <c r="H6" s="730" t="s">
        <v>206</v>
      </c>
      <c r="I6" s="730"/>
    </row>
    <row r="7" spans="1:9" ht="15.75">
      <c r="A7" s="726"/>
      <c r="B7" s="728"/>
      <c r="C7" s="722" t="s">
        <v>220</v>
      </c>
      <c r="D7" s="722" t="s">
        <v>261</v>
      </c>
      <c r="E7" s="722" t="s">
        <v>207</v>
      </c>
      <c r="F7" s="359" t="s">
        <v>206</v>
      </c>
      <c r="G7" s="728"/>
      <c r="H7" s="722" t="s">
        <v>208</v>
      </c>
      <c r="I7" s="722" t="s">
        <v>209</v>
      </c>
    </row>
    <row r="8" spans="1:9" ht="82.5" customHeight="1">
      <c r="A8" s="723"/>
      <c r="B8" s="729"/>
      <c r="C8" s="723"/>
      <c r="D8" s="723"/>
      <c r="E8" s="723"/>
      <c r="F8" s="359" t="s">
        <v>249</v>
      </c>
      <c r="G8" s="729"/>
      <c r="H8" s="723"/>
      <c r="I8" s="723"/>
    </row>
    <row r="9" spans="1:9" ht="15.75">
      <c r="A9" s="360">
        <v>1</v>
      </c>
      <c r="B9" s="360">
        <v>2</v>
      </c>
      <c r="C9" s="360">
        <v>3</v>
      </c>
      <c r="D9" s="360">
        <v>4</v>
      </c>
      <c r="E9" s="360">
        <v>5</v>
      </c>
      <c r="F9" s="359">
        <v>6</v>
      </c>
      <c r="G9" s="360">
        <v>7</v>
      </c>
      <c r="H9" s="360">
        <v>8</v>
      </c>
      <c r="I9" s="360">
        <v>9</v>
      </c>
    </row>
    <row r="10" spans="1:9" ht="47.25">
      <c r="A10" s="608" t="s">
        <v>508</v>
      </c>
      <c r="B10" s="367">
        <f>SUM(C10:E10)</f>
        <v>168</v>
      </c>
      <c r="C10" s="506">
        <v>106</v>
      </c>
      <c r="D10" s="506">
        <v>62</v>
      </c>
      <c r="E10" s="506">
        <v>0</v>
      </c>
      <c r="F10" s="507">
        <v>0</v>
      </c>
      <c r="G10" s="367">
        <f aca="true" t="shared" si="0" ref="G10:G22">SUM(H10:I10)</f>
        <v>10364</v>
      </c>
      <c r="H10" s="501">
        <v>10364</v>
      </c>
      <c r="I10" s="501">
        <v>0</v>
      </c>
    </row>
    <row r="11" spans="1:9" ht="33" customHeight="1">
      <c r="A11" s="608" t="s">
        <v>509</v>
      </c>
      <c r="B11" s="367">
        <f>SUM(C11:E11)</f>
        <v>66</v>
      </c>
      <c r="C11" s="506">
        <v>28</v>
      </c>
      <c r="D11" s="506">
        <v>38</v>
      </c>
      <c r="E11" s="506">
        <v>0</v>
      </c>
      <c r="F11" s="507">
        <v>0</v>
      </c>
      <c r="G11" s="367">
        <f t="shared" si="0"/>
        <v>8012</v>
      </c>
      <c r="H11" s="501">
        <v>8012</v>
      </c>
      <c r="I11" s="501">
        <v>0</v>
      </c>
    </row>
    <row r="12" spans="1:10" ht="25.5" customHeight="1">
      <c r="A12" s="362" t="s">
        <v>250</v>
      </c>
      <c r="B12" s="367">
        <f aca="true" t="shared" si="1" ref="B12:B22">SUM(C12:E12)</f>
        <v>31395</v>
      </c>
      <c r="C12" s="506">
        <v>0</v>
      </c>
      <c r="D12" s="506">
        <v>0</v>
      </c>
      <c r="E12" s="506">
        <v>31395</v>
      </c>
      <c r="F12" s="507">
        <v>2153</v>
      </c>
      <c r="G12" s="367">
        <f t="shared" si="0"/>
        <v>6904</v>
      </c>
      <c r="H12" s="501">
        <v>0</v>
      </c>
      <c r="I12" s="501">
        <v>6904</v>
      </c>
      <c r="J12" s="289"/>
    </row>
    <row r="13" spans="1:12" ht="31.5">
      <c r="A13" s="363" t="s">
        <v>251</v>
      </c>
      <c r="B13" s="368">
        <f>SUM(B15:B22)</f>
        <v>12946</v>
      </c>
      <c r="C13" s="508">
        <f>SUM(C15:C22)</f>
        <v>116</v>
      </c>
      <c r="D13" s="508">
        <f aca="true" t="shared" si="2" ref="D13:I13">SUM(D15:D22)</f>
        <v>184</v>
      </c>
      <c r="E13" s="508">
        <f t="shared" si="2"/>
        <v>12646</v>
      </c>
      <c r="F13" s="509">
        <f t="shared" si="2"/>
        <v>867</v>
      </c>
      <c r="G13" s="368">
        <f t="shared" si="2"/>
        <v>10442</v>
      </c>
      <c r="H13" s="364">
        <f t="shared" si="2"/>
        <v>7663</v>
      </c>
      <c r="I13" s="364">
        <f t="shared" si="2"/>
        <v>2779</v>
      </c>
      <c r="J13" s="289"/>
      <c r="L13" s="289"/>
    </row>
    <row r="14" spans="1:9" ht="24" customHeight="1">
      <c r="A14" s="370" t="s">
        <v>252</v>
      </c>
      <c r="B14" s="371"/>
      <c r="C14" s="372"/>
      <c r="D14" s="372"/>
      <c r="E14" s="372"/>
      <c r="F14" s="373"/>
      <c r="G14" s="371"/>
      <c r="H14" s="372"/>
      <c r="I14" s="374"/>
    </row>
    <row r="15" spans="1:11" ht="31.5">
      <c r="A15" s="365" t="s">
        <v>253</v>
      </c>
      <c r="B15" s="369">
        <f>SUM(C15:E15)</f>
        <v>2797</v>
      </c>
      <c r="C15" s="501">
        <v>116</v>
      </c>
      <c r="D15" s="501">
        <v>24</v>
      </c>
      <c r="E15" s="501">
        <v>2657</v>
      </c>
      <c r="F15" s="510">
        <v>182</v>
      </c>
      <c r="G15" s="369">
        <f t="shared" si="0"/>
        <v>2435</v>
      </c>
      <c r="H15" s="501">
        <v>1851</v>
      </c>
      <c r="I15" s="501">
        <v>584</v>
      </c>
      <c r="K15" s="289"/>
    </row>
    <row r="16" spans="1:11" ht="30" customHeight="1">
      <c r="A16" s="366" t="s">
        <v>254</v>
      </c>
      <c r="B16" s="367">
        <f t="shared" si="1"/>
        <v>1442</v>
      </c>
      <c r="C16" s="501">
        <v>0</v>
      </c>
      <c r="D16" s="501">
        <v>22</v>
      </c>
      <c r="E16" s="501">
        <v>1420</v>
      </c>
      <c r="F16" s="510">
        <v>97</v>
      </c>
      <c r="G16" s="367">
        <f t="shared" si="0"/>
        <v>1213</v>
      </c>
      <c r="H16" s="501">
        <v>901</v>
      </c>
      <c r="I16" s="501">
        <v>312</v>
      </c>
      <c r="K16" s="289"/>
    </row>
    <row r="17" spans="1:11" ht="31.5" customHeight="1">
      <c r="A17" s="366" t="s">
        <v>255</v>
      </c>
      <c r="B17" s="367">
        <f t="shared" si="1"/>
        <v>786</v>
      </c>
      <c r="C17" s="501">
        <v>0</v>
      </c>
      <c r="D17" s="501">
        <v>20</v>
      </c>
      <c r="E17" s="501">
        <v>766</v>
      </c>
      <c r="F17" s="510">
        <v>52</v>
      </c>
      <c r="G17" s="367">
        <f t="shared" si="0"/>
        <v>463</v>
      </c>
      <c r="H17" s="501">
        <v>295</v>
      </c>
      <c r="I17" s="501">
        <v>168</v>
      </c>
      <c r="K17" s="289"/>
    </row>
    <row r="18" spans="1:11" ht="31.5">
      <c r="A18" s="366" t="s">
        <v>256</v>
      </c>
      <c r="B18" s="367">
        <f t="shared" si="1"/>
        <v>2117</v>
      </c>
      <c r="C18" s="501">
        <v>0</v>
      </c>
      <c r="D18" s="501">
        <v>19</v>
      </c>
      <c r="E18" s="501">
        <v>2098</v>
      </c>
      <c r="F18" s="510">
        <v>144</v>
      </c>
      <c r="G18" s="367">
        <f t="shared" si="0"/>
        <v>1558</v>
      </c>
      <c r="H18" s="501">
        <v>1097</v>
      </c>
      <c r="I18" s="501">
        <v>461</v>
      </c>
      <c r="K18" s="289"/>
    </row>
    <row r="19" spans="1:11" ht="37.5" customHeight="1">
      <c r="A19" s="366" t="s">
        <v>257</v>
      </c>
      <c r="B19" s="367">
        <f t="shared" si="1"/>
        <v>437</v>
      </c>
      <c r="C19" s="501">
        <v>0</v>
      </c>
      <c r="D19" s="501">
        <v>26</v>
      </c>
      <c r="E19" s="501">
        <v>411</v>
      </c>
      <c r="F19" s="510">
        <v>28</v>
      </c>
      <c r="G19" s="367">
        <f t="shared" si="0"/>
        <v>575</v>
      </c>
      <c r="H19" s="501">
        <v>485</v>
      </c>
      <c r="I19" s="501">
        <v>90</v>
      </c>
      <c r="K19" s="289"/>
    </row>
    <row r="20" spans="1:11" ht="31.5">
      <c r="A20" s="366" t="s">
        <v>258</v>
      </c>
      <c r="B20" s="367">
        <f t="shared" si="1"/>
        <v>989</v>
      </c>
      <c r="C20" s="501">
        <v>0</v>
      </c>
      <c r="D20" s="501">
        <v>19</v>
      </c>
      <c r="E20" s="501">
        <v>970</v>
      </c>
      <c r="F20" s="510">
        <v>67</v>
      </c>
      <c r="G20" s="367">
        <f t="shared" si="0"/>
        <v>861</v>
      </c>
      <c r="H20" s="501">
        <v>648</v>
      </c>
      <c r="I20" s="501">
        <v>213</v>
      </c>
      <c r="K20" s="289"/>
    </row>
    <row r="21" spans="1:11" ht="31.5">
      <c r="A21" s="366" t="s">
        <v>259</v>
      </c>
      <c r="B21" s="367">
        <f t="shared" si="1"/>
        <v>2346</v>
      </c>
      <c r="C21" s="501">
        <v>0</v>
      </c>
      <c r="D21" s="501">
        <v>32</v>
      </c>
      <c r="E21" s="501">
        <v>2314</v>
      </c>
      <c r="F21" s="510">
        <v>159</v>
      </c>
      <c r="G21" s="367">
        <f t="shared" si="0"/>
        <v>1755</v>
      </c>
      <c r="H21" s="501">
        <v>1246</v>
      </c>
      <c r="I21" s="501">
        <v>509</v>
      </c>
      <c r="K21" s="289"/>
    </row>
    <row r="22" spans="1:11" ht="33" customHeight="1">
      <c r="A22" s="366" t="s">
        <v>260</v>
      </c>
      <c r="B22" s="367">
        <f t="shared" si="1"/>
        <v>2032</v>
      </c>
      <c r="C22" s="501">
        <v>0</v>
      </c>
      <c r="D22" s="501">
        <v>22</v>
      </c>
      <c r="E22" s="501">
        <v>2010</v>
      </c>
      <c r="F22" s="510">
        <v>138</v>
      </c>
      <c r="G22" s="367">
        <f t="shared" si="0"/>
        <v>1582</v>
      </c>
      <c r="H22" s="501">
        <v>1140</v>
      </c>
      <c r="I22" s="501">
        <v>442</v>
      </c>
      <c r="K22" s="289"/>
    </row>
    <row r="23" spans="1:9" ht="20.25" customHeight="1">
      <c r="A23" s="277" t="s">
        <v>32</v>
      </c>
      <c r="B23" s="367">
        <f aca="true" t="shared" si="3" ref="B23:I23">B10+B12+B13+B11</f>
        <v>44575</v>
      </c>
      <c r="C23" s="276">
        <f t="shared" si="3"/>
        <v>250</v>
      </c>
      <c r="D23" s="276">
        <f t="shared" si="3"/>
        <v>284</v>
      </c>
      <c r="E23" s="276">
        <f t="shared" si="3"/>
        <v>44041</v>
      </c>
      <c r="F23" s="361">
        <f t="shared" si="3"/>
        <v>3020</v>
      </c>
      <c r="G23" s="367">
        <f t="shared" si="3"/>
        <v>35722</v>
      </c>
      <c r="H23" s="276">
        <f t="shared" si="3"/>
        <v>26039</v>
      </c>
      <c r="I23" s="276">
        <f t="shared" si="3"/>
        <v>9683</v>
      </c>
    </row>
    <row r="25" spans="3:9" ht="15.75">
      <c r="C25" s="494">
        <v>9.44</v>
      </c>
      <c r="E25" s="278">
        <v>1.54</v>
      </c>
      <c r="H25" s="273">
        <v>3.78</v>
      </c>
      <c r="I25" s="273">
        <v>1.34</v>
      </c>
    </row>
    <row r="26" spans="2:9" ht="15.75">
      <c r="B26" s="493">
        <f>SUM(C26:E26)-3</f>
        <v>72861</v>
      </c>
      <c r="C26" s="493">
        <f>ROUND((C23+D23)*C25,0)</f>
        <v>5041</v>
      </c>
      <c r="E26" s="493">
        <f>ROUND(E23*E25,0)</f>
        <v>67823</v>
      </c>
      <c r="G26" s="493">
        <f>SUM(H26:I26)</f>
        <v>111402</v>
      </c>
      <c r="H26" s="493">
        <f>ROUND(H23*H25,0)</f>
        <v>98427</v>
      </c>
      <c r="I26" s="493">
        <f>ROUND(I23*I25,0)</f>
        <v>12975</v>
      </c>
    </row>
    <row r="27" spans="2:7" ht="15.75">
      <c r="B27" s="496">
        <f>B26/B23</f>
        <v>1.634570947840718</v>
      </c>
      <c r="G27" s="496">
        <f>G26/G23</f>
        <v>3.11858238620458</v>
      </c>
    </row>
    <row r="28" spans="2:9" ht="15.75">
      <c r="B28" s="289"/>
      <c r="C28" s="289"/>
      <c r="D28" s="289"/>
      <c r="E28" s="289"/>
      <c r="F28" s="289"/>
      <c r="G28" s="289"/>
      <c r="H28" s="289"/>
      <c r="I28" s="289"/>
    </row>
    <row r="29" spans="2:9" ht="15.75">
      <c r="B29" s="289"/>
      <c r="C29" s="289"/>
      <c r="D29" s="289"/>
      <c r="E29" s="289"/>
      <c r="F29" s="289"/>
      <c r="G29" s="289"/>
      <c r="H29" s="289"/>
      <c r="I29" s="289"/>
    </row>
    <row r="30" spans="2:9" ht="15.75">
      <c r="B30" s="289"/>
      <c r="C30" s="289"/>
      <c r="D30" s="289"/>
      <c r="E30" s="289"/>
      <c r="F30" s="289"/>
      <c r="G30" s="289"/>
      <c r="H30" s="289"/>
      <c r="I30" s="289"/>
    </row>
  </sheetData>
  <sheetProtection/>
  <mergeCells count="12">
    <mergeCell ref="H6:I6"/>
    <mergeCell ref="C7:C8"/>
    <mergeCell ref="D7:D8"/>
    <mergeCell ref="E7:E8"/>
    <mergeCell ref="H7:H8"/>
    <mergeCell ref="I7:I8"/>
    <mergeCell ref="A3:I3"/>
    <mergeCell ref="A4:I4"/>
    <mergeCell ref="A6:A8"/>
    <mergeCell ref="B6:B8"/>
    <mergeCell ref="C6:E6"/>
    <mergeCell ref="G6:G8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25"/>
  <sheetViews>
    <sheetView zoomScalePageLayoutView="0" workbookViewId="0" topLeftCell="A1">
      <selection activeCell="B7" sqref="B7:B8"/>
    </sheetView>
  </sheetViews>
  <sheetFormatPr defaultColWidth="9.140625" defaultRowHeight="12.75" outlineLevelCol="1"/>
  <cols>
    <col min="1" max="1" width="34.57421875" style="3" customWidth="1"/>
    <col min="2" max="2" width="14.421875" style="3" customWidth="1"/>
    <col min="3" max="3" width="16.28125" style="3" hidden="1" customWidth="1"/>
    <col min="4" max="4" width="13.140625" style="3" customWidth="1"/>
    <col min="5" max="5" width="15.7109375" style="3" customWidth="1"/>
    <col min="6" max="7" width="13.421875" style="3" hidden="1" customWidth="1" outlineLevel="1"/>
    <col min="8" max="15" width="12.00390625" style="3" hidden="1" customWidth="1" outlineLevel="1"/>
    <col min="16" max="16" width="14.421875" style="3" customWidth="1" collapsed="1"/>
    <col min="17" max="16384" width="9.140625" style="3" customWidth="1"/>
  </cols>
  <sheetData>
    <row r="1" spans="16:17" ht="15.75">
      <c r="P1" s="218" t="s">
        <v>387</v>
      </c>
      <c r="Q1" s="218"/>
    </row>
    <row r="2" spans="16:17" ht="15.75">
      <c r="P2" s="437"/>
      <c r="Q2" s="437"/>
    </row>
    <row r="3" spans="1:16" ht="42" customHeight="1">
      <c r="A3" s="720" t="str">
        <f>'1.1. ПРОФ.МЕРОПРИЯТИЯ'!A3:I3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</row>
    <row r="5" spans="1:16" ht="14.25">
      <c r="A5" s="733" t="s">
        <v>390</v>
      </c>
      <c r="B5" s="733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</row>
    <row r="6" ht="13.5" thickBot="1"/>
    <row r="7" spans="1:16" ht="15" customHeight="1">
      <c r="A7" s="734" t="s">
        <v>372</v>
      </c>
      <c r="B7" s="736" t="s">
        <v>510</v>
      </c>
      <c r="C7" s="736" t="s">
        <v>383</v>
      </c>
      <c r="D7" s="736" t="s">
        <v>219</v>
      </c>
      <c r="E7" s="736" t="s">
        <v>384</v>
      </c>
      <c r="F7" s="738" t="s">
        <v>206</v>
      </c>
      <c r="G7" s="739"/>
      <c r="H7" s="739"/>
      <c r="I7" s="739"/>
      <c r="J7" s="739"/>
      <c r="K7" s="739"/>
      <c r="L7" s="739"/>
      <c r="M7" s="739"/>
      <c r="N7" s="739"/>
      <c r="O7" s="740"/>
      <c r="P7" s="731" t="s">
        <v>382</v>
      </c>
    </row>
    <row r="8" spans="1:16" ht="68.25" customHeight="1" thickBot="1">
      <c r="A8" s="735"/>
      <c r="B8" s="737"/>
      <c r="C8" s="737"/>
      <c r="D8" s="737"/>
      <c r="E8" s="737"/>
      <c r="F8" s="462" t="s">
        <v>373</v>
      </c>
      <c r="G8" s="462" t="s">
        <v>405</v>
      </c>
      <c r="H8" s="462" t="s">
        <v>374</v>
      </c>
      <c r="I8" s="462" t="s">
        <v>375</v>
      </c>
      <c r="J8" s="462" t="s">
        <v>376</v>
      </c>
      <c r="K8" s="462" t="s">
        <v>377</v>
      </c>
      <c r="L8" s="462" t="s">
        <v>378</v>
      </c>
      <c r="M8" s="462" t="s">
        <v>379</v>
      </c>
      <c r="N8" s="462" t="s">
        <v>380</v>
      </c>
      <c r="O8" s="462" t="s">
        <v>381</v>
      </c>
      <c r="P8" s="732"/>
    </row>
    <row r="9" spans="1:18" ht="18.75" customHeight="1">
      <c r="A9" s="460" t="s">
        <v>68</v>
      </c>
      <c r="B9" s="573">
        <v>1331</v>
      </c>
      <c r="C9" s="573">
        <v>0</v>
      </c>
      <c r="D9" s="574">
        <v>0</v>
      </c>
      <c r="E9" s="573">
        <f>SUM(F9:O9)</f>
        <v>775</v>
      </c>
      <c r="F9" s="463">
        <v>103</v>
      </c>
      <c r="G9" s="463"/>
      <c r="H9" s="463">
        <v>87</v>
      </c>
      <c r="I9" s="463">
        <v>100</v>
      </c>
      <c r="J9" s="463">
        <v>85</v>
      </c>
      <c r="K9" s="463">
        <v>60</v>
      </c>
      <c r="L9" s="463">
        <v>120</v>
      </c>
      <c r="M9" s="463">
        <v>80</v>
      </c>
      <c r="N9" s="463">
        <v>50</v>
      </c>
      <c r="O9" s="463">
        <v>90</v>
      </c>
      <c r="P9" s="457">
        <f>B9+C9+D9+E9</f>
        <v>2106</v>
      </c>
      <c r="R9" s="6"/>
    </row>
    <row r="10" spans="1:18" ht="18.75" customHeight="1">
      <c r="A10" s="451" t="s">
        <v>13</v>
      </c>
      <c r="B10" s="575">
        <v>0</v>
      </c>
      <c r="C10" s="575">
        <v>0</v>
      </c>
      <c r="D10" s="576">
        <v>0</v>
      </c>
      <c r="E10" s="575">
        <f aca="true" t="shared" si="0" ref="E10:E21">SUM(F10:O10)</f>
        <v>986</v>
      </c>
      <c r="F10" s="464">
        <v>0</v>
      </c>
      <c r="G10" s="464">
        <v>663</v>
      </c>
      <c r="H10" s="464">
        <v>86</v>
      </c>
      <c r="I10" s="464">
        <v>86</v>
      </c>
      <c r="J10" s="464">
        <v>0</v>
      </c>
      <c r="K10" s="464">
        <v>0</v>
      </c>
      <c r="L10" s="464">
        <v>0</v>
      </c>
      <c r="M10" s="464">
        <v>0</v>
      </c>
      <c r="N10" s="464">
        <v>86</v>
      </c>
      <c r="O10" s="464">
        <v>65</v>
      </c>
      <c r="P10" s="458">
        <f aca="true" t="shared" si="1" ref="P10:P21">B10+C10+D10+E10</f>
        <v>986</v>
      </c>
      <c r="R10" s="6"/>
    </row>
    <row r="11" spans="1:18" ht="18.75" customHeight="1">
      <c r="A11" s="460" t="s">
        <v>78</v>
      </c>
      <c r="B11" s="575">
        <v>0</v>
      </c>
      <c r="C11" s="575">
        <v>0</v>
      </c>
      <c r="D11" s="576">
        <v>414</v>
      </c>
      <c r="E11" s="575">
        <f t="shared" si="0"/>
        <v>255</v>
      </c>
      <c r="F11" s="464">
        <v>0</v>
      </c>
      <c r="G11" s="464"/>
      <c r="H11" s="464">
        <v>0</v>
      </c>
      <c r="I11" s="464">
        <v>0</v>
      </c>
      <c r="J11" s="464">
        <v>0</v>
      </c>
      <c r="K11" s="464">
        <v>0</v>
      </c>
      <c r="L11" s="464">
        <v>0</v>
      </c>
      <c r="M11" s="464">
        <v>0</v>
      </c>
      <c r="N11" s="464">
        <v>133</v>
      </c>
      <c r="O11" s="464">
        <v>122</v>
      </c>
      <c r="P11" s="458">
        <f t="shared" si="1"/>
        <v>669</v>
      </c>
      <c r="R11" s="6"/>
    </row>
    <row r="12" spans="1:18" ht="18.75" customHeight="1">
      <c r="A12" s="451" t="s">
        <v>64</v>
      </c>
      <c r="B12" s="575">
        <v>0</v>
      </c>
      <c r="C12" s="575">
        <v>0</v>
      </c>
      <c r="D12" s="576">
        <v>288</v>
      </c>
      <c r="E12" s="575">
        <f t="shared" si="0"/>
        <v>99</v>
      </c>
      <c r="F12" s="464">
        <v>0</v>
      </c>
      <c r="G12" s="464"/>
      <c r="H12" s="464">
        <v>0</v>
      </c>
      <c r="I12" s="464">
        <v>0</v>
      </c>
      <c r="J12" s="464">
        <v>0</v>
      </c>
      <c r="K12" s="464">
        <v>0</v>
      </c>
      <c r="L12" s="464">
        <v>0</v>
      </c>
      <c r="M12" s="464">
        <v>0</v>
      </c>
      <c r="N12" s="464">
        <v>99</v>
      </c>
      <c r="O12" s="464">
        <v>0</v>
      </c>
      <c r="P12" s="458">
        <f t="shared" si="1"/>
        <v>387</v>
      </c>
      <c r="R12" s="6"/>
    </row>
    <row r="13" spans="1:18" ht="18.75" customHeight="1">
      <c r="A13" s="451" t="s">
        <v>3</v>
      </c>
      <c r="B13" s="575">
        <v>0</v>
      </c>
      <c r="C13" s="575">
        <v>0</v>
      </c>
      <c r="D13" s="576">
        <v>1419</v>
      </c>
      <c r="E13" s="575">
        <f t="shared" si="0"/>
        <v>1151</v>
      </c>
      <c r="F13" s="464">
        <v>0</v>
      </c>
      <c r="G13" s="464"/>
      <c r="H13" s="464">
        <v>177</v>
      </c>
      <c r="I13" s="464">
        <v>177</v>
      </c>
      <c r="J13" s="464">
        <v>0</v>
      </c>
      <c r="K13" s="464">
        <v>0</v>
      </c>
      <c r="L13" s="464">
        <v>177</v>
      </c>
      <c r="M13" s="464">
        <v>177</v>
      </c>
      <c r="N13" s="464">
        <v>266</v>
      </c>
      <c r="O13" s="464">
        <v>177</v>
      </c>
      <c r="P13" s="458">
        <f t="shared" si="1"/>
        <v>2570</v>
      </c>
      <c r="R13" s="6"/>
    </row>
    <row r="14" spans="1:18" ht="18.75" customHeight="1">
      <c r="A14" s="451" t="s">
        <v>6</v>
      </c>
      <c r="B14" s="575">
        <v>0</v>
      </c>
      <c r="C14" s="575">
        <v>0</v>
      </c>
      <c r="D14" s="576">
        <v>0</v>
      </c>
      <c r="E14" s="575">
        <f t="shared" si="0"/>
        <v>3274</v>
      </c>
      <c r="F14" s="464">
        <v>2555</v>
      </c>
      <c r="G14" s="464"/>
      <c r="H14" s="464">
        <v>258</v>
      </c>
      <c r="I14" s="464">
        <v>65</v>
      </c>
      <c r="J14" s="464">
        <v>0</v>
      </c>
      <c r="K14" s="464">
        <v>0</v>
      </c>
      <c r="L14" s="464">
        <v>0</v>
      </c>
      <c r="M14" s="464">
        <v>0</v>
      </c>
      <c r="N14" s="464">
        <v>188</v>
      </c>
      <c r="O14" s="464">
        <v>208</v>
      </c>
      <c r="P14" s="458">
        <f t="shared" si="1"/>
        <v>3274</v>
      </c>
      <c r="R14" s="6"/>
    </row>
    <row r="15" spans="1:18" ht="18.75" customHeight="1">
      <c r="A15" s="451" t="s">
        <v>69</v>
      </c>
      <c r="B15" s="575">
        <v>0</v>
      </c>
      <c r="C15" s="575">
        <v>0</v>
      </c>
      <c r="D15" s="576">
        <v>335</v>
      </c>
      <c r="E15" s="575">
        <f t="shared" si="0"/>
        <v>228</v>
      </c>
      <c r="F15" s="464">
        <v>0</v>
      </c>
      <c r="G15" s="464"/>
      <c r="H15" s="464">
        <v>65</v>
      </c>
      <c r="I15" s="464">
        <v>0</v>
      </c>
      <c r="J15" s="464">
        <v>0</v>
      </c>
      <c r="K15" s="464">
        <v>0</v>
      </c>
      <c r="L15" s="464">
        <v>0</v>
      </c>
      <c r="M15" s="464">
        <v>0</v>
      </c>
      <c r="N15" s="464">
        <v>98</v>
      </c>
      <c r="O15" s="464">
        <v>65</v>
      </c>
      <c r="P15" s="458">
        <f t="shared" si="1"/>
        <v>563</v>
      </c>
      <c r="R15" s="6"/>
    </row>
    <row r="16" spans="1:18" ht="18.75" customHeight="1">
      <c r="A16" s="451" t="s">
        <v>2</v>
      </c>
      <c r="B16" s="575">
        <v>0</v>
      </c>
      <c r="C16" s="575">
        <v>0</v>
      </c>
      <c r="D16" s="576">
        <v>927</v>
      </c>
      <c r="E16" s="575">
        <f t="shared" si="0"/>
        <v>340</v>
      </c>
      <c r="F16" s="464">
        <v>0</v>
      </c>
      <c r="G16" s="464"/>
      <c r="H16" s="601">
        <f>140-55</f>
        <v>85</v>
      </c>
      <c r="I16" s="464">
        <v>0</v>
      </c>
      <c r="J16" s="464">
        <v>0</v>
      </c>
      <c r="K16" s="464">
        <v>0</v>
      </c>
      <c r="L16" s="464">
        <v>0</v>
      </c>
      <c r="M16" s="464">
        <v>0</v>
      </c>
      <c r="N16" s="601">
        <f>200-30</f>
        <v>170</v>
      </c>
      <c r="O16" s="601">
        <v>85</v>
      </c>
      <c r="P16" s="458">
        <f t="shared" si="1"/>
        <v>1267</v>
      </c>
      <c r="R16" s="6"/>
    </row>
    <row r="17" spans="1:18" ht="18.75" customHeight="1">
      <c r="A17" s="451" t="s">
        <v>0</v>
      </c>
      <c r="B17" s="575">
        <v>0</v>
      </c>
      <c r="C17" s="575">
        <v>0</v>
      </c>
      <c r="D17" s="575">
        <v>14299</v>
      </c>
      <c r="E17" s="575">
        <f t="shared" si="0"/>
        <v>6336</v>
      </c>
      <c r="F17" s="464">
        <v>0</v>
      </c>
      <c r="G17" s="464"/>
      <c r="H17" s="511">
        <v>1440</v>
      </c>
      <c r="I17" s="511">
        <v>576</v>
      </c>
      <c r="J17" s="511">
        <v>288</v>
      </c>
      <c r="K17" s="511">
        <v>288</v>
      </c>
      <c r="L17" s="511">
        <v>864</v>
      </c>
      <c r="M17" s="511">
        <v>576</v>
      </c>
      <c r="N17" s="511">
        <v>576</v>
      </c>
      <c r="O17" s="464">
        <v>1728</v>
      </c>
      <c r="P17" s="458">
        <f t="shared" si="1"/>
        <v>20635</v>
      </c>
      <c r="R17" s="6"/>
    </row>
    <row r="18" spans="1:18" ht="18.75" customHeight="1">
      <c r="A18" s="460" t="s">
        <v>66</v>
      </c>
      <c r="B18" s="575">
        <v>0</v>
      </c>
      <c r="C18" s="575">
        <v>0</v>
      </c>
      <c r="D18" s="575">
        <v>161</v>
      </c>
      <c r="E18" s="575">
        <f t="shared" si="0"/>
        <v>15</v>
      </c>
      <c r="F18" s="464">
        <v>0</v>
      </c>
      <c r="G18" s="464"/>
      <c r="H18" s="464">
        <v>0</v>
      </c>
      <c r="I18" s="464">
        <v>0</v>
      </c>
      <c r="J18" s="464">
        <v>0</v>
      </c>
      <c r="K18" s="464">
        <v>0</v>
      </c>
      <c r="L18" s="464">
        <v>0</v>
      </c>
      <c r="M18" s="464">
        <v>0</v>
      </c>
      <c r="N18" s="464">
        <v>15</v>
      </c>
      <c r="O18" s="464">
        <v>0</v>
      </c>
      <c r="P18" s="458">
        <f t="shared" si="1"/>
        <v>176</v>
      </c>
      <c r="R18" s="6"/>
    </row>
    <row r="19" spans="1:18" ht="18.75" customHeight="1">
      <c r="A19" s="451" t="s">
        <v>1</v>
      </c>
      <c r="B19" s="575">
        <v>0</v>
      </c>
      <c r="C19" s="575">
        <v>0</v>
      </c>
      <c r="D19" s="575">
        <v>181</v>
      </c>
      <c r="E19" s="575">
        <f t="shared" si="0"/>
        <v>65</v>
      </c>
      <c r="F19" s="464">
        <v>0</v>
      </c>
      <c r="G19" s="464"/>
      <c r="H19" s="464">
        <v>0</v>
      </c>
      <c r="I19" s="464">
        <v>0</v>
      </c>
      <c r="J19" s="464">
        <v>0</v>
      </c>
      <c r="K19" s="464">
        <v>0</v>
      </c>
      <c r="L19" s="464">
        <v>0</v>
      </c>
      <c r="M19" s="464">
        <v>0</v>
      </c>
      <c r="N19" s="464">
        <v>65</v>
      </c>
      <c r="O19" s="464">
        <v>0</v>
      </c>
      <c r="P19" s="458">
        <f t="shared" si="1"/>
        <v>246</v>
      </c>
      <c r="R19" s="6"/>
    </row>
    <row r="20" spans="1:18" ht="18.75" customHeight="1">
      <c r="A20" s="451" t="s">
        <v>33</v>
      </c>
      <c r="B20" s="575">
        <v>0</v>
      </c>
      <c r="C20" s="575">
        <v>0</v>
      </c>
      <c r="D20" s="575">
        <v>447</v>
      </c>
      <c r="E20" s="575">
        <f t="shared" si="0"/>
        <v>539</v>
      </c>
      <c r="F20" s="464">
        <v>0</v>
      </c>
      <c r="G20" s="464"/>
      <c r="H20" s="464">
        <v>72</v>
      </c>
      <c r="I20" s="464">
        <v>90</v>
      </c>
      <c r="J20" s="464">
        <v>72</v>
      </c>
      <c r="K20" s="464">
        <v>35</v>
      </c>
      <c r="L20" s="464">
        <v>90</v>
      </c>
      <c r="M20" s="464">
        <v>72</v>
      </c>
      <c r="N20" s="464">
        <v>36</v>
      </c>
      <c r="O20" s="464">
        <v>72</v>
      </c>
      <c r="P20" s="458">
        <f t="shared" si="1"/>
        <v>986</v>
      </c>
      <c r="R20" s="6"/>
    </row>
    <row r="21" spans="1:18" ht="18.75" customHeight="1" thickBot="1">
      <c r="A21" s="452" t="s">
        <v>5</v>
      </c>
      <c r="B21" s="577">
        <v>0</v>
      </c>
      <c r="C21" s="577">
        <v>0</v>
      </c>
      <c r="D21" s="577">
        <v>1209</v>
      </c>
      <c r="E21" s="577">
        <f t="shared" si="0"/>
        <v>130</v>
      </c>
      <c r="F21" s="465">
        <v>0</v>
      </c>
      <c r="G21" s="465"/>
      <c r="H21" s="465">
        <v>0</v>
      </c>
      <c r="I21" s="465">
        <v>0</v>
      </c>
      <c r="J21" s="465">
        <v>0</v>
      </c>
      <c r="K21" s="465">
        <v>0</v>
      </c>
      <c r="L21" s="465">
        <v>0</v>
      </c>
      <c r="M21" s="465">
        <v>0</v>
      </c>
      <c r="N21" s="465">
        <v>130</v>
      </c>
      <c r="O21" s="465">
        <v>0</v>
      </c>
      <c r="P21" s="459">
        <f t="shared" si="1"/>
        <v>1339</v>
      </c>
      <c r="R21" s="6"/>
    </row>
    <row r="22" spans="1:16" ht="20.25" customHeight="1" thickBot="1">
      <c r="A22" s="453" t="s">
        <v>283</v>
      </c>
      <c r="B22" s="454">
        <f>SUM(B9:B21)</f>
        <v>1331</v>
      </c>
      <c r="C22" s="454">
        <f>SUM(C9:C21)</f>
        <v>0</v>
      </c>
      <c r="D22" s="455">
        <f>SUM(D9:D21)</f>
        <v>19680</v>
      </c>
      <c r="E22" s="454">
        <f>SUM(E9:E21)</f>
        <v>14193</v>
      </c>
      <c r="F22" s="466">
        <f aca="true" t="shared" si="2" ref="F22:O22">SUM(F9:F21)</f>
        <v>2658</v>
      </c>
      <c r="G22" s="466">
        <f t="shared" si="2"/>
        <v>663</v>
      </c>
      <c r="H22" s="466">
        <f t="shared" si="2"/>
        <v>2270</v>
      </c>
      <c r="I22" s="466">
        <f t="shared" si="2"/>
        <v>1094</v>
      </c>
      <c r="J22" s="466">
        <f t="shared" si="2"/>
        <v>445</v>
      </c>
      <c r="K22" s="466">
        <f t="shared" si="2"/>
        <v>383</v>
      </c>
      <c r="L22" s="466">
        <f t="shared" si="2"/>
        <v>1251</v>
      </c>
      <c r="M22" s="466">
        <f t="shared" si="2"/>
        <v>905</v>
      </c>
      <c r="N22" s="466">
        <f t="shared" si="2"/>
        <v>1912</v>
      </c>
      <c r="O22" s="466">
        <f t="shared" si="2"/>
        <v>2612</v>
      </c>
      <c r="P22" s="456">
        <f>SUM(B22:E22)</f>
        <v>35204</v>
      </c>
    </row>
    <row r="24" spans="2:16" ht="12.75">
      <c r="B24" s="585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585"/>
    </row>
    <row r="25" spans="2:5" ht="12.75">
      <c r="B25" s="6"/>
      <c r="C25" s="6"/>
      <c r="D25" s="6"/>
      <c r="E25" s="6"/>
    </row>
  </sheetData>
  <sheetProtection/>
  <mergeCells count="9">
    <mergeCell ref="P7:P8"/>
    <mergeCell ref="A3:P3"/>
    <mergeCell ref="A5:P5"/>
    <mergeCell ref="A7:A8"/>
    <mergeCell ref="B7:B8"/>
    <mergeCell ref="C7:C8"/>
    <mergeCell ref="D7:D8"/>
    <mergeCell ref="E7:E8"/>
    <mergeCell ref="F7:O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Y82"/>
  <sheetViews>
    <sheetView view="pageBreakPreview" zoomScaleSheetLayoutView="100" zoomScalePageLayoutView="0" workbookViewId="0" topLeftCell="A1">
      <pane xSplit="2" ySplit="7" topLeftCell="C7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78" sqref="N78"/>
    </sheetView>
  </sheetViews>
  <sheetFormatPr defaultColWidth="9.140625" defaultRowHeight="12.75"/>
  <cols>
    <col min="1" max="1" width="7.421875" style="71" customWidth="1"/>
    <col min="2" max="2" width="65.8515625" style="80" customWidth="1"/>
    <col min="3" max="3" width="10.28125" style="10" customWidth="1"/>
    <col min="4" max="4" width="12.7109375" style="71" customWidth="1"/>
    <col min="5" max="5" width="15.140625" style="71" customWidth="1"/>
    <col min="6" max="6" width="17.7109375" style="71" customWidth="1"/>
    <col min="7" max="7" width="12.57421875" style="72" customWidth="1"/>
    <col min="8" max="8" width="10.421875" style="71" customWidth="1"/>
    <col min="9" max="9" width="13.57421875" style="71" customWidth="1"/>
    <col min="10" max="10" width="11.57421875" style="71" customWidth="1"/>
    <col min="11" max="12" width="10.00390625" style="71" customWidth="1"/>
    <col min="13" max="15" width="12.00390625" style="71" customWidth="1"/>
    <col min="16" max="16" width="12.421875" style="71" customWidth="1"/>
    <col min="17" max="17" width="11.140625" style="71" customWidth="1"/>
    <col min="18" max="18" width="9.140625" style="71" customWidth="1"/>
    <col min="19" max="19" width="10.00390625" style="71" customWidth="1"/>
    <col min="20" max="16384" width="9.140625" style="71" customWidth="1"/>
  </cols>
  <sheetData>
    <row r="1" spans="10:13" ht="15.75">
      <c r="J1" s="742" t="s">
        <v>388</v>
      </c>
      <c r="K1" s="742"/>
      <c r="L1" s="742"/>
      <c r="M1" s="742"/>
    </row>
    <row r="3" spans="1:13" ht="29.25" customHeight="1">
      <c r="A3" s="724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</row>
    <row r="4" spans="1:13" ht="27" customHeight="1">
      <c r="A4" s="741" t="s">
        <v>389</v>
      </c>
      <c r="B4" s="741"/>
      <c r="C4" s="741"/>
      <c r="D4" s="741"/>
      <c r="E4" s="741"/>
      <c r="F4" s="741"/>
      <c r="G4" s="741"/>
      <c r="H4" s="741"/>
      <c r="I4" s="741"/>
      <c r="J4" s="741"/>
      <c r="K4" s="741"/>
      <c r="L4" s="741"/>
      <c r="M4" s="741"/>
    </row>
    <row r="5" ht="10.5" customHeight="1"/>
    <row r="6" spans="1:13" ht="53.25" customHeight="1">
      <c r="A6" s="97"/>
      <c r="B6" s="85" t="s">
        <v>105</v>
      </c>
      <c r="C6" s="98" t="s">
        <v>63</v>
      </c>
      <c r="D6" s="99" t="s">
        <v>41</v>
      </c>
      <c r="E6" s="99" t="s">
        <v>54</v>
      </c>
      <c r="F6" s="99" t="s">
        <v>502</v>
      </c>
      <c r="G6" s="99" t="s">
        <v>219</v>
      </c>
      <c r="H6" s="99" t="s">
        <v>106</v>
      </c>
      <c r="I6" s="99" t="s">
        <v>113</v>
      </c>
      <c r="J6" s="99" t="s">
        <v>323</v>
      </c>
      <c r="K6" s="99" t="s">
        <v>237</v>
      </c>
      <c r="L6" s="99" t="s">
        <v>406</v>
      </c>
      <c r="M6" s="99" t="s">
        <v>197</v>
      </c>
    </row>
    <row r="7" spans="1:13" ht="12.75" customHeight="1">
      <c r="A7" s="97">
        <v>1</v>
      </c>
      <c r="B7" s="217">
        <v>2</v>
      </c>
      <c r="C7" s="216">
        <v>3</v>
      </c>
      <c r="D7" s="99">
        <v>4</v>
      </c>
      <c r="E7" s="99">
        <v>5</v>
      </c>
      <c r="F7" s="99">
        <v>6</v>
      </c>
      <c r="G7" s="99">
        <v>7</v>
      </c>
      <c r="H7" s="99">
        <v>8</v>
      </c>
      <c r="I7" s="216">
        <v>9</v>
      </c>
      <c r="J7" s="216">
        <v>10</v>
      </c>
      <c r="K7" s="216">
        <v>11</v>
      </c>
      <c r="L7" s="216">
        <v>12</v>
      </c>
      <c r="M7" s="216">
        <v>13</v>
      </c>
    </row>
    <row r="8" spans="1:20" ht="18" customHeight="1">
      <c r="A8" s="100">
        <v>1</v>
      </c>
      <c r="B8" s="290" t="s">
        <v>200</v>
      </c>
      <c r="C8" s="357">
        <f aca="true" t="shared" si="0" ref="C8:C29">SUM(D8:M8)</f>
        <v>10306</v>
      </c>
      <c r="D8" s="644">
        <f aca="true" t="shared" si="1" ref="D8:M8">SUM(D9:D10)</f>
        <v>8181</v>
      </c>
      <c r="E8" s="96">
        <f t="shared" si="1"/>
        <v>1147</v>
      </c>
      <c r="F8" s="644">
        <f t="shared" si="1"/>
        <v>978</v>
      </c>
      <c r="G8" s="96">
        <f t="shared" si="1"/>
        <v>0</v>
      </c>
      <c r="H8" s="96">
        <f t="shared" si="1"/>
        <v>0</v>
      </c>
      <c r="I8" s="96">
        <f t="shared" si="1"/>
        <v>0</v>
      </c>
      <c r="J8" s="96">
        <f t="shared" si="1"/>
        <v>0</v>
      </c>
      <c r="K8" s="96">
        <f t="shared" si="1"/>
        <v>0</v>
      </c>
      <c r="L8" s="96">
        <f t="shared" si="1"/>
        <v>0</v>
      </c>
      <c r="M8" s="96">
        <f t="shared" si="1"/>
        <v>0</v>
      </c>
      <c r="O8" s="351">
        <f>SUM(O9:O10)</f>
        <v>74913.60764999999</v>
      </c>
      <c r="P8" s="351">
        <f>SUM(P9:P10)</f>
        <v>8132.97555</v>
      </c>
      <c r="R8" s="105"/>
      <c r="T8" s="661">
        <f>C8-M8-'[1]СВОД'!C8</f>
        <v>0</v>
      </c>
    </row>
    <row r="9" spans="1:20" ht="15" customHeight="1">
      <c r="A9" s="74" t="s">
        <v>86</v>
      </c>
      <c r="B9" s="81" t="s">
        <v>87</v>
      </c>
      <c r="C9" s="484">
        <f t="shared" si="0"/>
        <v>6925</v>
      </c>
      <c r="D9" s="643">
        <v>4800</v>
      </c>
      <c r="E9" s="76">
        <v>1147</v>
      </c>
      <c r="F9" s="643">
        <v>978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1">
        <v>7090.65</v>
      </c>
      <c r="O9" s="351">
        <f>N9*D9/1000</f>
        <v>34035.12</v>
      </c>
      <c r="P9" s="351">
        <f>E9*N9/1000</f>
        <v>8132.97555</v>
      </c>
      <c r="R9" s="105"/>
      <c r="T9" s="661">
        <f>C9-M9-'[1]СВОД'!C9</f>
        <v>0</v>
      </c>
    </row>
    <row r="10" spans="1:20" ht="15" customHeight="1">
      <c r="A10" s="74" t="s">
        <v>88</v>
      </c>
      <c r="B10" s="82" t="s">
        <v>89</v>
      </c>
      <c r="C10" s="484">
        <f t="shared" si="0"/>
        <v>3381</v>
      </c>
      <c r="D10" s="643">
        <v>3381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1">
        <v>12090.65</v>
      </c>
      <c r="O10" s="351">
        <f>N10*D10/1000</f>
        <v>40878.487649999995</v>
      </c>
      <c r="P10" s="351">
        <f>E10*N10/1000</f>
        <v>0</v>
      </c>
      <c r="R10" s="105"/>
      <c r="T10" s="661">
        <f>C10-M10-'[1]СВОД'!C10</f>
        <v>0</v>
      </c>
    </row>
    <row r="11" spans="1:20" s="75" customFormat="1" ht="15" customHeight="1">
      <c r="A11" s="74" t="s">
        <v>90</v>
      </c>
      <c r="B11" s="82" t="s">
        <v>91</v>
      </c>
      <c r="C11" s="484">
        <f t="shared" si="0"/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R11" s="105"/>
      <c r="T11" s="662">
        <f>C11-M11-'[1]СВОД'!C11</f>
        <v>0</v>
      </c>
    </row>
    <row r="12" spans="1:25" s="75" customFormat="1" ht="18.75" customHeight="1">
      <c r="A12" s="91">
        <v>2</v>
      </c>
      <c r="B12" s="291" t="s">
        <v>201</v>
      </c>
      <c r="C12" s="357">
        <f t="shared" si="0"/>
        <v>2409</v>
      </c>
      <c r="D12" s="644">
        <f>SUM(D13:D15)</f>
        <v>2348</v>
      </c>
      <c r="E12" s="96">
        <f aca="true" t="shared" si="2" ref="E12:L12">SUM(E13:E15)</f>
        <v>0</v>
      </c>
      <c r="F12" s="96">
        <f t="shared" si="2"/>
        <v>0</v>
      </c>
      <c r="G12" s="96">
        <f t="shared" si="2"/>
        <v>0</v>
      </c>
      <c r="H12" s="96">
        <f t="shared" si="2"/>
        <v>61</v>
      </c>
      <c r="I12" s="96">
        <f t="shared" si="2"/>
        <v>0</v>
      </c>
      <c r="J12" s="96">
        <f t="shared" si="2"/>
        <v>0</v>
      </c>
      <c r="K12" s="96">
        <f t="shared" si="2"/>
        <v>0</v>
      </c>
      <c r="L12" s="96">
        <f t="shared" si="2"/>
        <v>0</v>
      </c>
      <c r="M12" s="96">
        <f>SUM(M13:M15)</f>
        <v>0</v>
      </c>
      <c r="O12" s="351">
        <f>SUM(O13:O14)</f>
        <v>30586.069000000003</v>
      </c>
      <c r="P12" s="351">
        <f>SUM(P13:P14)</f>
        <v>727.57675</v>
      </c>
      <c r="Q12" s="537"/>
      <c r="R12" s="538"/>
      <c r="S12" s="352"/>
      <c r="T12" s="662">
        <f>C12-M12-'[1]СВОД'!C12</f>
        <v>0</v>
      </c>
      <c r="U12" s="352"/>
      <c r="V12" s="352"/>
      <c r="W12" s="351"/>
      <c r="X12" s="351"/>
      <c r="Y12" s="351"/>
    </row>
    <row r="13" spans="1:25" s="75" customFormat="1" ht="15.75" customHeight="1">
      <c r="A13" s="74" t="s">
        <v>92</v>
      </c>
      <c r="B13" s="82" t="s">
        <v>87</v>
      </c>
      <c r="C13" s="484">
        <f t="shared" si="0"/>
        <v>1577</v>
      </c>
      <c r="D13" s="643">
        <v>1524</v>
      </c>
      <c r="E13" s="76">
        <v>0</v>
      </c>
      <c r="F13" s="76">
        <v>0</v>
      </c>
      <c r="G13" s="76">
        <v>0</v>
      </c>
      <c r="H13" s="643">
        <v>53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5">
        <v>11271.75</v>
      </c>
      <c r="O13" s="351">
        <f>N13*D13/1000</f>
        <v>17178.147</v>
      </c>
      <c r="P13" s="351">
        <f>H13*N13/1000</f>
        <v>597.40275</v>
      </c>
      <c r="Q13" s="537"/>
      <c r="R13" s="538"/>
      <c r="S13" s="352"/>
      <c r="T13" s="662">
        <f>C13-M13-'[1]СВОД'!C13</f>
        <v>0</v>
      </c>
      <c r="U13" s="352"/>
      <c r="V13" s="352"/>
      <c r="W13" s="352"/>
      <c r="Y13" s="351"/>
    </row>
    <row r="14" spans="1:25" ht="15.75" customHeight="1">
      <c r="A14" s="74" t="s">
        <v>93</v>
      </c>
      <c r="B14" s="82" t="s">
        <v>89</v>
      </c>
      <c r="C14" s="484">
        <f t="shared" si="0"/>
        <v>832</v>
      </c>
      <c r="D14" s="643">
        <v>824</v>
      </c>
      <c r="E14" s="76">
        <v>0</v>
      </c>
      <c r="F14" s="76">
        <v>0</v>
      </c>
      <c r="G14" s="76">
        <v>0</v>
      </c>
      <c r="H14" s="643">
        <v>8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1">
        <v>16271.75</v>
      </c>
      <c r="O14" s="351">
        <f>N14*D14/1000</f>
        <v>13407.922</v>
      </c>
      <c r="P14" s="351">
        <f>H14*N14/1000</f>
        <v>130.174</v>
      </c>
      <c r="Q14" s="539"/>
      <c r="R14" s="538"/>
      <c r="S14" s="353"/>
      <c r="T14" s="661">
        <f>C14-M14-'[1]СВОД'!C14</f>
        <v>0</v>
      </c>
      <c r="U14" s="353"/>
      <c r="V14" s="353"/>
      <c r="W14" s="352"/>
      <c r="Y14" s="351"/>
    </row>
    <row r="15" spans="1:20" s="75" customFormat="1" ht="15.75" customHeight="1">
      <c r="A15" s="74" t="s">
        <v>94</v>
      </c>
      <c r="B15" s="82" t="s">
        <v>91</v>
      </c>
      <c r="C15" s="484">
        <f t="shared" si="0"/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Q15" s="537"/>
      <c r="R15" s="538"/>
      <c r="T15" s="662">
        <f>C15-M15-'[1]СВОД'!C15</f>
        <v>0</v>
      </c>
    </row>
    <row r="16" spans="1:20" s="75" customFormat="1" ht="19.5" customHeight="1">
      <c r="A16" s="95">
        <v>3</v>
      </c>
      <c r="B16" s="291" t="s">
        <v>429</v>
      </c>
      <c r="C16" s="357">
        <f t="shared" si="0"/>
        <v>8961</v>
      </c>
      <c r="D16" s="96">
        <f aca="true" t="shared" si="3" ref="D16:M16">SUM(D17:D20)</f>
        <v>3407</v>
      </c>
      <c r="E16" s="96">
        <f t="shared" si="3"/>
        <v>613</v>
      </c>
      <c r="F16" s="96">
        <f t="shared" si="3"/>
        <v>2580</v>
      </c>
      <c r="G16" s="96">
        <f t="shared" si="3"/>
        <v>2361</v>
      </c>
      <c r="H16" s="96">
        <f t="shared" si="3"/>
        <v>0</v>
      </c>
      <c r="I16" s="96">
        <f t="shared" si="3"/>
        <v>0</v>
      </c>
      <c r="J16" s="96">
        <f t="shared" si="3"/>
        <v>0</v>
      </c>
      <c r="K16" s="96">
        <f t="shared" si="3"/>
        <v>0</v>
      </c>
      <c r="L16" s="96">
        <f t="shared" si="3"/>
        <v>0</v>
      </c>
      <c r="M16" s="96">
        <f t="shared" si="3"/>
        <v>0</v>
      </c>
      <c r="O16" s="482">
        <f>SUM(O17:O20)</f>
        <v>9832.2386</v>
      </c>
      <c r="P16" s="482">
        <f>SUM(P17:P20)</f>
        <v>1965.1617999999999</v>
      </c>
      <c r="Q16" s="482">
        <f>SUM(Q17:Q20)</f>
        <v>6435.807000000001</v>
      </c>
      <c r="R16" s="482">
        <f>SUM(R17:R20)</f>
        <v>6132.1178</v>
      </c>
      <c r="T16" s="662">
        <f>C16-M16-'[1]СВОД'!C16</f>
        <v>0</v>
      </c>
    </row>
    <row r="17" spans="1:20" s="75" customFormat="1" ht="14.25" customHeight="1">
      <c r="A17" s="423" t="s">
        <v>95</v>
      </c>
      <c r="B17" s="83" t="s">
        <v>165</v>
      </c>
      <c r="C17" s="484">
        <f t="shared" si="0"/>
        <v>4694</v>
      </c>
      <c r="D17" s="7">
        <v>2316</v>
      </c>
      <c r="E17" s="7">
        <v>600</v>
      </c>
      <c r="F17" s="76">
        <v>810</v>
      </c>
      <c r="G17" s="109">
        <v>968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5">
        <v>3228.5</v>
      </c>
      <c r="O17" s="351">
        <f>N17*D17/1000</f>
        <v>7477.206</v>
      </c>
      <c r="P17" s="351">
        <f>E17*N17/1000</f>
        <v>1937.1</v>
      </c>
      <c r="Q17" s="351">
        <f>F17*N17/1000</f>
        <v>2615.085</v>
      </c>
      <c r="R17" s="105">
        <f>G17*N17/1000</f>
        <v>3125.188</v>
      </c>
      <c r="T17" s="662">
        <f>C17-M17-'[1]СВОД'!C17</f>
        <v>0</v>
      </c>
    </row>
    <row r="18" spans="1:20" ht="14.25" customHeight="1">
      <c r="A18" s="423" t="s">
        <v>96</v>
      </c>
      <c r="B18" s="83" t="s">
        <v>148</v>
      </c>
      <c r="C18" s="484">
        <f t="shared" si="0"/>
        <v>404</v>
      </c>
      <c r="D18" s="7">
        <v>395</v>
      </c>
      <c r="E18" s="7">
        <v>0</v>
      </c>
      <c r="F18" s="76">
        <v>0</v>
      </c>
      <c r="G18" s="109">
        <v>9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1">
        <v>2158.6</v>
      </c>
      <c r="O18" s="351">
        <f>N18*D18/1000</f>
        <v>852.647</v>
      </c>
      <c r="P18" s="351">
        <f>E18*N18/1000</f>
        <v>0</v>
      </c>
      <c r="Q18" s="351">
        <f>F18*N18/1000</f>
        <v>0</v>
      </c>
      <c r="R18" s="105">
        <f>G18*N18/1000</f>
        <v>19.4274</v>
      </c>
      <c r="T18" s="661">
        <f>C18-M18-'[1]СВОД'!C18</f>
        <v>0</v>
      </c>
    </row>
    <row r="19" spans="1:20" ht="14.25" customHeight="1">
      <c r="A19" s="423" t="s">
        <v>97</v>
      </c>
      <c r="B19" s="83" t="s">
        <v>149</v>
      </c>
      <c r="C19" s="484">
        <f t="shared" si="0"/>
        <v>3863</v>
      </c>
      <c r="D19" s="7">
        <v>696</v>
      </c>
      <c r="E19" s="7">
        <v>13</v>
      </c>
      <c r="F19" s="7">
        <v>1770</v>
      </c>
      <c r="G19" s="109">
        <v>1384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1">
        <v>2158.6</v>
      </c>
      <c r="O19" s="351">
        <f>N19*D19/1000</f>
        <v>1502.3855999999998</v>
      </c>
      <c r="P19" s="351">
        <f>E19*N19/1000</f>
        <v>28.061799999999998</v>
      </c>
      <c r="Q19" s="351">
        <f>F19*N19/1000</f>
        <v>3820.722</v>
      </c>
      <c r="R19" s="105">
        <f>G19*N19/1000</f>
        <v>2987.5024</v>
      </c>
      <c r="T19" s="661">
        <f>C19-M19-'[1]СВОД'!C19</f>
        <v>0</v>
      </c>
    </row>
    <row r="20" spans="1:20" ht="14.25" customHeight="1">
      <c r="A20" s="73" t="s">
        <v>98</v>
      </c>
      <c r="B20" s="83" t="s">
        <v>91</v>
      </c>
      <c r="C20" s="484">
        <f t="shared" si="0"/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R20" s="105"/>
      <c r="T20" s="661">
        <f>C20-M20-'[1]СВОД'!C20</f>
        <v>0</v>
      </c>
    </row>
    <row r="21" spans="1:20" ht="19.5" customHeight="1">
      <c r="A21" s="91">
        <v>4</v>
      </c>
      <c r="B21" s="290" t="s">
        <v>199</v>
      </c>
      <c r="C21" s="357">
        <f t="shared" si="0"/>
        <v>6143</v>
      </c>
      <c r="D21" s="644">
        <f>SUM(D22:D29)</f>
        <v>6069</v>
      </c>
      <c r="E21" s="96">
        <f>SUM(E22:E29)</f>
        <v>37</v>
      </c>
      <c r="F21" s="96">
        <f>SUM(F22:F29)</f>
        <v>20</v>
      </c>
      <c r="G21" s="644">
        <f>SUM(G22:G29)</f>
        <v>17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O21" s="481">
        <f>SUM(O22:O29)</f>
        <v>19588.391700000004</v>
      </c>
      <c r="P21" s="481">
        <f>SUM(P22:P29)</f>
        <v>104.7433</v>
      </c>
      <c r="R21" s="105"/>
      <c r="T21" s="661">
        <f>C21-M21-'[1]СВОД'!C21</f>
        <v>0</v>
      </c>
    </row>
    <row r="22" spans="1:20" s="110" customFormat="1" ht="15.75">
      <c r="A22" s="106" t="s">
        <v>157</v>
      </c>
      <c r="B22" s="107" t="s">
        <v>150</v>
      </c>
      <c r="C22" s="484">
        <f t="shared" si="0"/>
        <v>451</v>
      </c>
      <c r="D22" s="645">
        <v>451</v>
      </c>
      <c r="E22" s="109">
        <v>0</v>
      </c>
      <c r="F22" s="109">
        <v>0</v>
      </c>
      <c r="G22" s="645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10">
        <v>2916.9</v>
      </c>
      <c r="O22" s="351">
        <f aca="true" t="shared" si="4" ref="O22:O29">N22*D22/1000</f>
        <v>1315.5219000000002</v>
      </c>
      <c r="P22" s="351">
        <f aca="true" t="shared" si="5" ref="P22:P29">E22*N22/1000</f>
        <v>0</v>
      </c>
      <c r="R22" s="105"/>
      <c r="T22" s="663">
        <f>C22-M22-'[1]СВОД'!C22</f>
        <v>0</v>
      </c>
    </row>
    <row r="23" spans="1:20" s="110" customFormat="1" ht="15.75">
      <c r="A23" s="106" t="s">
        <v>158</v>
      </c>
      <c r="B23" s="107" t="s">
        <v>151</v>
      </c>
      <c r="C23" s="484">
        <f t="shared" si="0"/>
        <v>4396</v>
      </c>
      <c r="D23" s="645">
        <v>4322</v>
      </c>
      <c r="E23" s="109">
        <v>37</v>
      </c>
      <c r="F23" s="109">
        <v>20</v>
      </c>
      <c r="G23" s="645">
        <v>17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10">
        <v>2830.9</v>
      </c>
      <c r="O23" s="351">
        <f t="shared" si="4"/>
        <v>12235.149800000001</v>
      </c>
      <c r="P23" s="351">
        <f t="shared" si="5"/>
        <v>104.7433</v>
      </c>
      <c r="R23" s="105"/>
      <c r="T23" s="663">
        <f>C23-M23-'[1]СВОД'!C23</f>
        <v>0</v>
      </c>
    </row>
    <row r="24" spans="1:20" s="110" customFormat="1" ht="15.75">
      <c r="A24" s="106" t="s">
        <v>159</v>
      </c>
      <c r="B24" s="107" t="s">
        <v>152</v>
      </c>
      <c r="C24" s="484">
        <f t="shared" si="0"/>
        <v>0</v>
      </c>
      <c r="D24" s="645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O24" s="351">
        <f t="shared" si="4"/>
        <v>0</v>
      </c>
      <c r="P24" s="351">
        <f t="shared" si="5"/>
        <v>0</v>
      </c>
      <c r="R24" s="105"/>
      <c r="T24" s="663">
        <f>C24-M24-'[1]СВОД'!C24</f>
        <v>0</v>
      </c>
    </row>
    <row r="25" spans="1:20" s="110" customFormat="1" ht="15.75">
      <c r="A25" s="106" t="s">
        <v>160</v>
      </c>
      <c r="B25" s="107" t="s">
        <v>153</v>
      </c>
      <c r="C25" s="484">
        <f t="shared" si="0"/>
        <v>1242</v>
      </c>
      <c r="D25" s="645">
        <v>1242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635">
        <v>4751.8</v>
      </c>
      <c r="O25" s="636">
        <f t="shared" si="4"/>
        <v>5901.735600000001</v>
      </c>
      <c r="P25" s="636">
        <f t="shared" si="5"/>
        <v>0</v>
      </c>
      <c r="R25" s="105"/>
      <c r="T25" s="663">
        <f>C25-M25-'[1]СВОД'!C25</f>
        <v>0</v>
      </c>
    </row>
    <row r="26" spans="1:20" s="110" customFormat="1" ht="15.75">
      <c r="A26" s="106" t="s">
        <v>161</v>
      </c>
      <c r="B26" s="107" t="s">
        <v>154</v>
      </c>
      <c r="C26" s="484">
        <f t="shared" si="0"/>
        <v>8</v>
      </c>
      <c r="D26" s="645">
        <v>8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10">
        <v>3098</v>
      </c>
      <c r="O26" s="351">
        <f t="shared" si="4"/>
        <v>24.784</v>
      </c>
      <c r="P26" s="351">
        <f t="shared" si="5"/>
        <v>0</v>
      </c>
      <c r="R26" s="105"/>
      <c r="T26" s="663">
        <f>C26-M26-'[1]СВОД'!C26</f>
        <v>0</v>
      </c>
    </row>
    <row r="27" spans="1:20" s="110" customFormat="1" ht="15.75">
      <c r="A27" s="106" t="s">
        <v>162</v>
      </c>
      <c r="B27" s="107" t="s">
        <v>155</v>
      </c>
      <c r="C27" s="484">
        <f t="shared" si="0"/>
        <v>0</v>
      </c>
      <c r="D27" s="645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O27" s="351">
        <f t="shared" si="4"/>
        <v>0</v>
      </c>
      <c r="P27" s="351">
        <f t="shared" si="5"/>
        <v>0</v>
      </c>
      <c r="R27" s="105"/>
      <c r="T27" s="663">
        <f>C27-M27-'[1]СВОД'!C27</f>
        <v>0</v>
      </c>
    </row>
    <row r="28" spans="1:20" s="110" customFormat="1" ht="15.75">
      <c r="A28" s="106" t="s">
        <v>163</v>
      </c>
      <c r="B28" s="107" t="s">
        <v>156</v>
      </c>
      <c r="C28" s="484">
        <f t="shared" si="0"/>
        <v>0</v>
      </c>
      <c r="D28" s="645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O28" s="351">
        <f t="shared" si="4"/>
        <v>0</v>
      </c>
      <c r="P28" s="351">
        <f t="shared" si="5"/>
        <v>0</v>
      </c>
      <c r="R28" s="105"/>
      <c r="T28" s="663">
        <f>C28-M28-'[1]СВОД'!C28</f>
        <v>0</v>
      </c>
    </row>
    <row r="29" spans="1:20" s="110" customFormat="1" ht="15.75">
      <c r="A29" s="106" t="s">
        <v>164</v>
      </c>
      <c r="B29" s="107" t="s">
        <v>91</v>
      </c>
      <c r="C29" s="484">
        <f t="shared" si="0"/>
        <v>46</v>
      </c>
      <c r="D29" s="645">
        <v>46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10">
        <v>2417.4</v>
      </c>
      <c r="O29" s="351">
        <f t="shared" si="4"/>
        <v>111.2004</v>
      </c>
      <c r="P29" s="351">
        <f t="shared" si="5"/>
        <v>0</v>
      </c>
      <c r="R29" s="105"/>
      <c r="T29" s="663">
        <f>C29-M29-'[1]СВОД'!C29</f>
        <v>0</v>
      </c>
    </row>
    <row r="30" spans="1:20" ht="26.25" customHeight="1">
      <c r="A30" s="91">
        <v>5</v>
      </c>
      <c r="B30" s="290" t="s">
        <v>432</v>
      </c>
      <c r="C30" s="357">
        <f>SUM(D30:M30)</f>
        <v>131</v>
      </c>
      <c r="D30" s="96">
        <f aca="true" t="shared" si="6" ref="D30:K30">SUM(D31:D41)</f>
        <v>0</v>
      </c>
      <c r="E30" s="96">
        <f t="shared" si="6"/>
        <v>0</v>
      </c>
      <c r="F30" s="96">
        <f t="shared" si="6"/>
        <v>0</v>
      </c>
      <c r="G30" s="96">
        <f t="shared" si="6"/>
        <v>0</v>
      </c>
      <c r="H30" s="96">
        <f t="shared" si="6"/>
        <v>0</v>
      </c>
      <c r="I30" s="96">
        <f t="shared" si="6"/>
        <v>0</v>
      </c>
      <c r="J30" s="96">
        <f t="shared" si="6"/>
        <v>0</v>
      </c>
      <c r="K30" s="96">
        <f t="shared" si="6"/>
        <v>0</v>
      </c>
      <c r="L30" s="96">
        <f>SUM(L31:L41)</f>
        <v>34</v>
      </c>
      <c r="M30" s="96">
        <f>SUM(M31:M41)</f>
        <v>97</v>
      </c>
      <c r="P30" s="105"/>
      <c r="R30" s="105"/>
      <c r="T30" s="661">
        <f>C30-M30-'[1]СВОД'!C30</f>
        <v>0</v>
      </c>
    </row>
    <row r="31" spans="1:20" ht="15.75" customHeight="1">
      <c r="A31" s="78" t="s">
        <v>99</v>
      </c>
      <c r="B31" s="82" t="s">
        <v>410</v>
      </c>
      <c r="C31" s="77">
        <v>42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10</v>
      </c>
      <c r="M31" s="468">
        <f aca="true" t="shared" si="7" ref="M31:M41">C31-L31</f>
        <v>32</v>
      </c>
      <c r="O31" s="421">
        <f>5646.3*0.6745</f>
        <v>3808.42935</v>
      </c>
      <c r="P31" s="353">
        <f>O31*L31/1000</f>
        <v>38.0842935</v>
      </c>
      <c r="R31" s="105"/>
      <c r="T31" s="661">
        <f>C31-M31-'[1]СВОД'!C31</f>
        <v>0</v>
      </c>
    </row>
    <row r="32" spans="1:20" ht="15.75" customHeight="1">
      <c r="A32" s="78" t="s">
        <v>100</v>
      </c>
      <c r="B32" s="82" t="s">
        <v>411</v>
      </c>
      <c r="C32" s="77">
        <v>9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2</v>
      </c>
      <c r="M32" s="468">
        <f t="shared" si="7"/>
        <v>7</v>
      </c>
      <c r="O32" s="421">
        <f>11648.4*1.3915</f>
        <v>16208.748599999999</v>
      </c>
      <c r="P32" s="353">
        <f aca="true" t="shared" si="8" ref="P32:P41">O32*L32/1000</f>
        <v>32.4174972</v>
      </c>
      <c r="R32" s="105"/>
      <c r="T32" s="661">
        <f>C32-M32-'[1]СВОД'!C32</f>
        <v>0</v>
      </c>
    </row>
    <row r="33" spans="1:20" s="75" customFormat="1" ht="15.75" customHeight="1">
      <c r="A33" s="78" t="s">
        <v>101</v>
      </c>
      <c r="B33" s="82" t="s">
        <v>412</v>
      </c>
      <c r="C33" s="77">
        <v>13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5</v>
      </c>
      <c r="M33" s="468">
        <f t="shared" si="7"/>
        <v>8</v>
      </c>
      <c r="O33" s="351">
        <f>10790.3*1.289</f>
        <v>13908.696699999999</v>
      </c>
      <c r="P33" s="353">
        <f t="shared" si="8"/>
        <v>69.5434835</v>
      </c>
      <c r="R33" s="105"/>
      <c r="T33" s="662">
        <f>C33-M33-'[1]СВОД'!C33</f>
        <v>0</v>
      </c>
    </row>
    <row r="34" spans="1:20" s="75" customFormat="1" ht="15.75" customHeight="1">
      <c r="A34" s="78" t="s">
        <v>102</v>
      </c>
      <c r="B34" s="82" t="s">
        <v>413</v>
      </c>
      <c r="C34" s="77">
        <v>28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5</v>
      </c>
      <c r="M34" s="468">
        <f t="shared" si="7"/>
        <v>23</v>
      </c>
      <c r="O34" s="351">
        <f>11595.6*1.3852</f>
        <v>16062.225120000001</v>
      </c>
      <c r="P34" s="353">
        <f t="shared" si="8"/>
        <v>80.3111256</v>
      </c>
      <c r="R34" s="105"/>
      <c r="T34" s="662">
        <f>C34-M34-'[1]СВОД'!C34</f>
        <v>0</v>
      </c>
    </row>
    <row r="35" spans="1:20" s="75" customFormat="1" ht="15.75" customHeight="1">
      <c r="A35" s="78" t="s">
        <v>103</v>
      </c>
      <c r="B35" s="82" t="s">
        <v>414</v>
      </c>
      <c r="C35" s="77">
        <v>4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4</v>
      </c>
      <c r="M35" s="468">
        <f t="shared" si="7"/>
        <v>0</v>
      </c>
      <c r="O35" s="75">
        <f>8371.1</f>
        <v>8371.1</v>
      </c>
      <c r="P35" s="353">
        <f t="shared" si="8"/>
        <v>33.4844</v>
      </c>
      <c r="R35" s="105"/>
      <c r="T35" s="662">
        <f>C35-M35-'[1]СВОД'!C35</f>
        <v>0</v>
      </c>
    </row>
    <row r="36" spans="1:20" s="75" customFormat="1" ht="25.5" customHeight="1">
      <c r="A36" s="78" t="s">
        <v>104</v>
      </c>
      <c r="B36" s="81" t="s">
        <v>415</v>
      </c>
      <c r="C36" s="77">
        <v>21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5</v>
      </c>
      <c r="M36" s="468">
        <f t="shared" si="7"/>
        <v>16</v>
      </c>
      <c r="O36" s="352">
        <f>6835.8*0.8166</f>
        <v>5582.11428</v>
      </c>
      <c r="P36" s="353">
        <f t="shared" si="8"/>
        <v>27.910571400000002</v>
      </c>
      <c r="R36" s="105"/>
      <c r="T36" s="662">
        <f>C36-M36-'[1]СВОД'!C36</f>
        <v>0</v>
      </c>
    </row>
    <row r="37" spans="1:20" s="75" customFormat="1" ht="25.5" customHeight="1">
      <c r="A37" s="78" t="s">
        <v>407</v>
      </c>
      <c r="B37" s="81" t="s">
        <v>416</v>
      </c>
      <c r="C37" s="77">
        <v>9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f>ROUND(C37/131*31,0)</f>
        <v>2</v>
      </c>
      <c r="M37" s="468">
        <f t="shared" si="7"/>
        <v>7</v>
      </c>
      <c r="O37" s="75">
        <f>8371.1</f>
        <v>8371.1</v>
      </c>
      <c r="P37" s="353">
        <f t="shared" si="8"/>
        <v>16.7422</v>
      </c>
      <c r="R37" s="105"/>
      <c r="T37" s="662">
        <f>C37-M37-'[1]СВОД'!C37</f>
        <v>0</v>
      </c>
    </row>
    <row r="38" spans="1:20" s="75" customFormat="1" ht="15.75" customHeight="1">
      <c r="A38" s="78" t="s">
        <v>408</v>
      </c>
      <c r="B38" s="81" t="s">
        <v>417</v>
      </c>
      <c r="C38" s="77">
        <v>4</v>
      </c>
      <c r="D38" s="76">
        <v>0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f>ROUND(C38/131*31,0)</f>
        <v>1</v>
      </c>
      <c r="M38" s="468">
        <f t="shared" si="7"/>
        <v>3</v>
      </c>
      <c r="O38" s="75">
        <f>8371.1</f>
        <v>8371.1</v>
      </c>
      <c r="P38" s="353">
        <f t="shared" si="8"/>
        <v>8.3711</v>
      </c>
      <c r="R38" s="105"/>
      <c r="T38" s="662">
        <f>C38-M38-'[1]СВОД'!C38</f>
        <v>0</v>
      </c>
    </row>
    <row r="39" spans="1:20" s="75" customFormat="1" ht="26.25" customHeight="1">
      <c r="A39" s="78" t="s">
        <v>409</v>
      </c>
      <c r="B39" s="81" t="s">
        <v>418</v>
      </c>
      <c r="C39" s="77">
        <v>1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468">
        <f t="shared" si="7"/>
        <v>1</v>
      </c>
      <c r="O39" s="75">
        <f>8371.1</f>
        <v>8371.1</v>
      </c>
      <c r="P39" s="353">
        <f t="shared" si="8"/>
        <v>0</v>
      </c>
      <c r="R39" s="105"/>
      <c r="T39" s="662">
        <f>C39-M39-'[1]СВОД'!C39</f>
        <v>0</v>
      </c>
    </row>
    <row r="40" spans="1:20" s="75" customFormat="1" ht="27" customHeight="1">
      <c r="A40" s="78" t="s">
        <v>419</v>
      </c>
      <c r="B40" s="81" t="s">
        <v>421</v>
      </c>
      <c r="C40" s="77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/>
      <c r="M40" s="468">
        <f t="shared" si="7"/>
        <v>0</v>
      </c>
      <c r="O40" s="75">
        <f>8371.1</f>
        <v>8371.1</v>
      </c>
      <c r="P40" s="353">
        <f t="shared" si="8"/>
        <v>0</v>
      </c>
      <c r="R40" s="105"/>
      <c r="T40" s="662">
        <f>C40-M40-'[1]СВОД'!C40</f>
        <v>0</v>
      </c>
    </row>
    <row r="41" spans="1:20" s="75" customFormat="1" ht="15.75">
      <c r="A41" s="78" t="s">
        <v>420</v>
      </c>
      <c r="B41" s="81" t="s">
        <v>91</v>
      </c>
      <c r="C41" s="77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/>
      <c r="M41" s="468">
        <f t="shared" si="7"/>
        <v>0</v>
      </c>
      <c r="O41" s="75">
        <f>8371.1</f>
        <v>8371.1</v>
      </c>
      <c r="P41" s="353">
        <f t="shared" si="8"/>
        <v>0</v>
      </c>
      <c r="R41" s="105"/>
      <c r="T41" s="662">
        <f>C41-M41-'[1]СВОД'!C41</f>
        <v>0</v>
      </c>
    </row>
    <row r="42" spans="1:20" s="75" customFormat="1" ht="41.25" customHeight="1">
      <c r="A42" s="95">
        <v>6</v>
      </c>
      <c r="B42" s="290" t="s">
        <v>186</v>
      </c>
      <c r="C42" s="357">
        <f aca="true" t="shared" si="9" ref="C42:C81">SUM(D42:M42)</f>
        <v>1777</v>
      </c>
      <c r="D42" s="94">
        <v>1777</v>
      </c>
      <c r="E42" s="93">
        <v>0</v>
      </c>
      <c r="F42" s="93">
        <v>0</v>
      </c>
      <c r="G42" s="94">
        <v>0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R42" s="105"/>
      <c r="T42" s="662">
        <f>C42-M42-'[1]СВОД'!C42</f>
        <v>0</v>
      </c>
    </row>
    <row r="43" spans="1:20" s="75" customFormat="1" ht="29.25" customHeight="1">
      <c r="A43" s="91">
        <v>7</v>
      </c>
      <c r="B43" s="290" t="s">
        <v>194</v>
      </c>
      <c r="C43" s="357">
        <f t="shared" si="9"/>
        <v>13000</v>
      </c>
      <c r="D43" s="96">
        <v>0</v>
      </c>
      <c r="E43" s="96">
        <v>0</v>
      </c>
      <c r="F43" s="96">
        <v>0</v>
      </c>
      <c r="G43" s="96">
        <v>0</v>
      </c>
      <c r="H43" s="96">
        <v>0</v>
      </c>
      <c r="I43" s="96">
        <v>0</v>
      </c>
      <c r="J43" s="96">
        <v>13000</v>
      </c>
      <c r="K43" s="96">
        <v>0</v>
      </c>
      <c r="L43" s="96">
        <v>0</v>
      </c>
      <c r="M43" s="96">
        <v>0</v>
      </c>
      <c r="N43" s="477">
        <v>1412.99</v>
      </c>
      <c r="O43" s="478">
        <f>N43*J43/1000</f>
        <v>18368.87</v>
      </c>
      <c r="R43" s="105"/>
      <c r="T43" s="662">
        <f>C43-M43-'[1]СВОД'!C43</f>
        <v>0</v>
      </c>
    </row>
    <row r="44" spans="1:20" s="75" customFormat="1" ht="21.75" customHeight="1">
      <c r="A44" s="91">
        <v>8</v>
      </c>
      <c r="B44" s="290" t="s">
        <v>198</v>
      </c>
      <c r="C44" s="357">
        <f t="shared" si="9"/>
        <v>6023</v>
      </c>
      <c r="D44" s="96">
        <f aca="true" t="shared" si="10" ref="D44:I44">SUM(D45:D63)</f>
        <v>0</v>
      </c>
      <c r="E44" s="96">
        <f t="shared" si="10"/>
        <v>0</v>
      </c>
      <c r="F44" s="96">
        <f t="shared" si="10"/>
        <v>0</v>
      </c>
      <c r="G44" s="96">
        <f t="shared" si="10"/>
        <v>0</v>
      </c>
      <c r="H44" s="96">
        <f t="shared" si="10"/>
        <v>0</v>
      </c>
      <c r="I44" s="96">
        <f t="shared" si="10"/>
        <v>317</v>
      </c>
      <c r="J44" s="96">
        <f>SUM(J45:J75)</f>
        <v>5706</v>
      </c>
      <c r="K44" s="96">
        <f>SUM(K45:K63)</f>
        <v>0</v>
      </c>
      <c r="L44" s="96">
        <f>SUM(L45:L63)</f>
        <v>0</v>
      </c>
      <c r="M44" s="96">
        <f>SUM(M45:M63)</f>
        <v>0</v>
      </c>
      <c r="O44" s="351">
        <f>SUM(O45:O52)</f>
        <v>521.5350000000001</v>
      </c>
      <c r="R44" s="105"/>
      <c r="T44" s="662">
        <f>C44-M44-'[1]СВОД'!C44</f>
        <v>0</v>
      </c>
    </row>
    <row r="45" spans="1:20" ht="54" customHeight="1">
      <c r="A45" s="78" t="s">
        <v>122</v>
      </c>
      <c r="B45" s="82" t="s">
        <v>114</v>
      </c>
      <c r="C45" s="77">
        <f t="shared" si="9"/>
        <v>170</v>
      </c>
      <c r="D45" s="76">
        <v>0</v>
      </c>
      <c r="E45" s="76">
        <v>0</v>
      </c>
      <c r="F45" s="76">
        <v>0</v>
      </c>
      <c r="G45" s="358">
        <v>0</v>
      </c>
      <c r="H45" s="76">
        <v>0</v>
      </c>
      <c r="I45" s="76">
        <v>170</v>
      </c>
      <c r="J45" s="76">
        <v>0</v>
      </c>
      <c r="K45" s="76"/>
      <c r="L45" s="76"/>
      <c r="M45" s="76">
        <v>0</v>
      </c>
      <c r="N45" s="71">
        <v>1500</v>
      </c>
      <c r="O45" s="640">
        <f>N45*I45/1000</f>
        <v>255</v>
      </c>
      <c r="R45" s="105"/>
      <c r="T45" s="661">
        <f>C45-M45-'[1]СВОД'!C45</f>
        <v>0</v>
      </c>
    </row>
    <row r="46" spans="1:20" ht="18" customHeight="1">
      <c r="A46" s="78" t="s">
        <v>123</v>
      </c>
      <c r="B46" s="82" t="s">
        <v>115</v>
      </c>
      <c r="C46" s="77">
        <f t="shared" si="9"/>
        <v>71</v>
      </c>
      <c r="D46" s="76">
        <v>0</v>
      </c>
      <c r="E46" s="76">
        <v>0</v>
      </c>
      <c r="F46" s="76">
        <v>0</v>
      </c>
      <c r="G46" s="358">
        <v>0</v>
      </c>
      <c r="H46" s="76">
        <v>0</v>
      </c>
      <c r="I46" s="76">
        <v>71</v>
      </c>
      <c r="J46" s="76">
        <v>0</v>
      </c>
      <c r="K46" s="76"/>
      <c r="L46" s="76"/>
      <c r="M46" s="76">
        <v>0</v>
      </c>
      <c r="N46" s="71">
        <v>1825</v>
      </c>
      <c r="O46" s="640">
        <f aca="true" t="shared" si="11" ref="O46:O52">N46*I46/1000</f>
        <v>129.575</v>
      </c>
      <c r="R46" s="105"/>
      <c r="T46" s="661">
        <f>C46-M46-'[1]СВОД'!C46</f>
        <v>0</v>
      </c>
    </row>
    <row r="47" spans="1:20" ht="18" customHeight="1">
      <c r="A47" s="78" t="s">
        <v>166</v>
      </c>
      <c r="B47" s="82" t="s">
        <v>116</v>
      </c>
      <c r="C47" s="77">
        <f t="shared" si="9"/>
        <v>0</v>
      </c>
      <c r="D47" s="76">
        <v>0</v>
      </c>
      <c r="E47" s="76">
        <v>0</v>
      </c>
      <c r="F47" s="76">
        <v>0</v>
      </c>
      <c r="G47" s="358">
        <v>0</v>
      </c>
      <c r="H47" s="76">
        <v>0</v>
      </c>
      <c r="I47" s="76">
        <v>0</v>
      </c>
      <c r="J47" s="76">
        <v>0</v>
      </c>
      <c r="K47" s="76"/>
      <c r="L47" s="76"/>
      <c r="M47" s="76">
        <v>0</v>
      </c>
      <c r="N47" s="71">
        <v>1685</v>
      </c>
      <c r="O47" s="640">
        <f t="shared" si="11"/>
        <v>0</v>
      </c>
      <c r="R47" s="105"/>
      <c r="T47" s="661">
        <f>C47-M47-'[1]СВОД'!C47</f>
        <v>0</v>
      </c>
    </row>
    <row r="48" spans="1:20" ht="18" customHeight="1">
      <c r="A48" s="78" t="s">
        <v>189</v>
      </c>
      <c r="B48" s="82" t="s">
        <v>117</v>
      </c>
      <c r="C48" s="77">
        <f t="shared" si="9"/>
        <v>0</v>
      </c>
      <c r="D48" s="76">
        <v>0</v>
      </c>
      <c r="E48" s="76">
        <v>0</v>
      </c>
      <c r="F48" s="76">
        <v>0</v>
      </c>
      <c r="G48" s="358">
        <v>0</v>
      </c>
      <c r="H48" s="76">
        <v>0</v>
      </c>
      <c r="I48" s="76">
        <v>0</v>
      </c>
      <c r="J48" s="76">
        <v>0</v>
      </c>
      <c r="K48" s="76"/>
      <c r="L48" s="76"/>
      <c r="M48" s="76">
        <v>0</v>
      </c>
      <c r="N48" s="71">
        <v>1685</v>
      </c>
      <c r="O48" s="640">
        <f t="shared" si="11"/>
        <v>0</v>
      </c>
      <c r="R48" s="105"/>
      <c r="T48" s="661">
        <f>C48-M48-'[1]СВОД'!C48</f>
        <v>0</v>
      </c>
    </row>
    <row r="49" spans="1:20" ht="18" customHeight="1">
      <c r="A49" s="78" t="s">
        <v>190</v>
      </c>
      <c r="B49" s="82" t="s">
        <v>118</v>
      </c>
      <c r="C49" s="77">
        <f t="shared" si="9"/>
        <v>2</v>
      </c>
      <c r="D49" s="76">
        <v>0</v>
      </c>
      <c r="E49" s="76">
        <v>0</v>
      </c>
      <c r="F49" s="76">
        <v>0</v>
      </c>
      <c r="G49" s="358">
        <v>0</v>
      </c>
      <c r="H49" s="76">
        <v>0</v>
      </c>
      <c r="I49" s="76">
        <f>10-8</f>
        <v>2</v>
      </c>
      <c r="J49" s="76">
        <v>0</v>
      </c>
      <c r="K49" s="76"/>
      <c r="L49" s="76"/>
      <c r="M49" s="76">
        <v>0</v>
      </c>
      <c r="N49" s="71">
        <v>2955</v>
      </c>
      <c r="O49" s="640">
        <f t="shared" si="11"/>
        <v>5.91</v>
      </c>
      <c r="R49" s="105"/>
      <c r="T49" s="661">
        <f>C49-M49-'[1]СВОД'!C49</f>
        <v>0</v>
      </c>
    </row>
    <row r="50" spans="1:20" ht="18" customHeight="1">
      <c r="A50" s="78" t="s">
        <v>191</v>
      </c>
      <c r="B50" s="82" t="s">
        <v>119</v>
      </c>
      <c r="C50" s="77">
        <f t="shared" si="9"/>
        <v>47</v>
      </c>
      <c r="D50" s="76">
        <v>0</v>
      </c>
      <c r="E50" s="76">
        <v>0</v>
      </c>
      <c r="F50" s="76">
        <v>0</v>
      </c>
      <c r="G50" s="358">
        <v>0</v>
      </c>
      <c r="H50" s="76">
        <v>0</v>
      </c>
      <c r="I50" s="76">
        <v>47</v>
      </c>
      <c r="J50" s="76">
        <v>0</v>
      </c>
      <c r="K50" s="76"/>
      <c r="L50" s="76"/>
      <c r="M50" s="76">
        <v>0</v>
      </c>
      <c r="N50" s="71">
        <v>1525</v>
      </c>
      <c r="O50" s="640">
        <f t="shared" si="11"/>
        <v>71.675</v>
      </c>
      <c r="R50" s="105"/>
      <c r="T50" s="661">
        <f>C50-M50-'[1]СВОД'!C50</f>
        <v>0</v>
      </c>
    </row>
    <row r="51" spans="1:20" ht="15.75" customHeight="1">
      <c r="A51" s="78" t="s">
        <v>192</v>
      </c>
      <c r="B51" s="82" t="s">
        <v>120</v>
      </c>
      <c r="C51" s="77">
        <f t="shared" si="9"/>
        <v>11</v>
      </c>
      <c r="D51" s="76">
        <v>0</v>
      </c>
      <c r="E51" s="76">
        <v>0</v>
      </c>
      <c r="F51" s="76">
        <v>0</v>
      </c>
      <c r="G51" s="358">
        <v>0</v>
      </c>
      <c r="H51" s="76">
        <v>0</v>
      </c>
      <c r="I51" s="76">
        <v>11</v>
      </c>
      <c r="J51" s="76">
        <v>0</v>
      </c>
      <c r="K51" s="76"/>
      <c r="L51" s="76"/>
      <c r="M51" s="76">
        <v>0</v>
      </c>
      <c r="N51" s="71">
        <v>1725</v>
      </c>
      <c r="O51" s="640">
        <f t="shared" si="11"/>
        <v>18.975</v>
      </c>
      <c r="R51" s="105"/>
      <c r="T51" s="661">
        <f>C51-M51-'[1]СВОД'!C51</f>
        <v>0</v>
      </c>
    </row>
    <row r="52" spans="1:20" ht="15.75" customHeight="1">
      <c r="A52" s="78" t="s">
        <v>193</v>
      </c>
      <c r="B52" s="82" t="s">
        <v>121</v>
      </c>
      <c r="C52" s="77">
        <f t="shared" si="9"/>
        <v>16</v>
      </c>
      <c r="D52" s="76">
        <v>0</v>
      </c>
      <c r="E52" s="76">
        <v>0</v>
      </c>
      <c r="F52" s="76">
        <v>0</v>
      </c>
      <c r="G52" s="358">
        <v>0</v>
      </c>
      <c r="H52" s="76">
        <v>0</v>
      </c>
      <c r="I52" s="76">
        <v>16</v>
      </c>
      <c r="J52" s="76">
        <v>0</v>
      </c>
      <c r="K52" s="76"/>
      <c r="L52" s="76"/>
      <c r="M52" s="76">
        <v>0</v>
      </c>
      <c r="N52" s="71">
        <v>2525</v>
      </c>
      <c r="O52" s="640">
        <f t="shared" si="11"/>
        <v>40.4</v>
      </c>
      <c r="P52" s="421"/>
      <c r="R52" s="105"/>
      <c r="T52" s="661">
        <f>C52-M52-'[1]СВОД'!C52</f>
        <v>0</v>
      </c>
    </row>
    <row r="53" spans="1:20" ht="15.75" customHeight="1">
      <c r="A53" s="78" t="s">
        <v>308</v>
      </c>
      <c r="B53" s="82" t="s">
        <v>325</v>
      </c>
      <c r="C53" s="77">
        <f t="shared" si="9"/>
        <v>1036</v>
      </c>
      <c r="D53" s="76"/>
      <c r="E53" s="76"/>
      <c r="F53" s="76"/>
      <c r="G53" s="358"/>
      <c r="H53" s="76"/>
      <c r="I53" s="76"/>
      <c r="J53" s="76">
        <v>1036</v>
      </c>
      <c r="K53" s="76"/>
      <c r="L53" s="76"/>
      <c r="M53" s="76"/>
      <c r="N53" s="479">
        <v>450</v>
      </c>
      <c r="O53" s="480">
        <f>J53*N53/1000</f>
        <v>466.2</v>
      </c>
      <c r="P53" s="421"/>
      <c r="R53" s="105"/>
      <c r="T53" s="661">
        <f>C53-M53-'[1]СВОД'!C53</f>
        <v>0</v>
      </c>
    </row>
    <row r="54" spans="1:20" ht="27.75" customHeight="1">
      <c r="A54" s="78" t="s">
        <v>309</v>
      </c>
      <c r="B54" s="82" t="s">
        <v>326</v>
      </c>
      <c r="C54" s="77">
        <f t="shared" si="9"/>
        <v>873</v>
      </c>
      <c r="D54" s="76"/>
      <c r="E54" s="76"/>
      <c r="F54" s="76"/>
      <c r="G54" s="358"/>
      <c r="H54" s="76"/>
      <c r="I54" s="76"/>
      <c r="J54" s="76">
        <v>873</v>
      </c>
      <c r="K54" s="76"/>
      <c r="L54" s="76"/>
      <c r="M54" s="76"/>
      <c r="N54" s="479">
        <v>450</v>
      </c>
      <c r="O54" s="480">
        <f aca="true" t="shared" si="12" ref="O54:O63">J54*N54/1000</f>
        <v>392.85</v>
      </c>
      <c r="P54" s="421"/>
      <c r="R54" s="105"/>
      <c r="T54" s="661">
        <f>C54-M54-'[1]СВОД'!C54</f>
        <v>0</v>
      </c>
    </row>
    <row r="55" spans="1:20" ht="15.75" customHeight="1">
      <c r="A55" s="78" t="s">
        <v>310</v>
      </c>
      <c r="B55" s="82" t="s">
        <v>327</v>
      </c>
      <c r="C55" s="77">
        <f t="shared" si="9"/>
        <v>535</v>
      </c>
      <c r="D55" s="76"/>
      <c r="E55" s="76"/>
      <c r="F55" s="76"/>
      <c r="G55" s="358"/>
      <c r="H55" s="76"/>
      <c r="I55" s="76"/>
      <c r="J55" s="76">
        <v>535</v>
      </c>
      <c r="K55" s="76"/>
      <c r="L55" s="76"/>
      <c r="M55" s="76"/>
      <c r="N55" s="479">
        <v>420</v>
      </c>
      <c r="O55" s="480">
        <f t="shared" si="12"/>
        <v>224.7</v>
      </c>
      <c r="P55" s="421"/>
      <c r="R55" s="105"/>
      <c r="T55" s="661">
        <f>C55-M55-'[1]СВОД'!C55</f>
        <v>0</v>
      </c>
    </row>
    <row r="56" spans="1:20" ht="29.25" customHeight="1">
      <c r="A56" s="78" t="s">
        <v>311</v>
      </c>
      <c r="B56" s="82" t="s">
        <v>328</v>
      </c>
      <c r="C56" s="77">
        <f t="shared" si="9"/>
        <v>323</v>
      </c>
      <c r="D56" s="76"/>
      <c r="E56" s="76"/>
      <c r="F56" s="76"/>
      <c r="G56" s="358"/>
      <c r="H56" s="76"/>
      <c r="I56" s="76"/>
      <c r="J56" s="76">
        <v>323</v>
      </c>
      <c r="K56" s="76"/>
      <c r="L56" s="76"/>
      <c r="M56" s="76"/>
      <c r="N56" s="479">
        <v>540</v>
      </c>
      <c r="O56" s="480">
        <f t="shared" si="12"/>
        <v>174.42</v>
      </c>
      <c r="P56" s="421"/>
      <c r="R56" s="105"/>
      <c r="T56" s="661">
        <f>C56-M56-'[1]СВОД'!C56</f>
        <v>0</v>
      </c>
    </row>
    <row r="57" spans="1:20" ht="29.25" customHeight="1">
      <c r="A57" s="78" t="s">
        <v>312</v>
      </c>
      <c r="B57" s="82" t="s">
        <v>329</v>
      </c>
      <c r="C57" s="77">
        <f t="shared" si="9"/>
        <v>409</v>
      </c>
      <c r="D57" s="76"/>
      <c r="E57" s="76"/>
      <c r="F57" s="76"/>
      <c r="G57" s="358"/>
      <c r="H57" s="76"/>
      <c r="I57" s="76"/>
      <c r="J57" s="76">
        <v>409</v>
      </c>
      <c r="K57" s="76"/>
      <c r="L57" s="76"/>
      <c r="M57" s="76"/>
      <c r="N57" s="479">
        <v>967.8</v>
      </c>
      <c r="O57" s="480">
        <f t="shared" si="12"/>
        <v>395.83019999999993</v>
      </c>
      <c r="P57" s="421"/>
      <c r="R57" s="105"/>
      <c r="T57" s="661">
        <f>C57-M57-'[1]СВОД'!C57</f>
        <v>0</v>
      </c>
    </row>
    <row r="58" spans="1:20" ht="18" customHeight="1">
      <c r="A58" s="78" t="s">
        <v>313</v>
      </c>
      <c r="B58" s="82" t="s">
        <v>330</v>
      </c>
      <c r="C58" s="77">
        <f t="shared" si="9"/>
        <v>113</v>
      </c>
      <c r="D58" s="76"/>
      <c r="E58" s="76"/>
      <c r="F58" s="76"/>
      <c r="G58" s="358"/>
      <c r="H58" s="76"/>
      <c r="I58" s="76"/>
      <c r="J58" s="76">
        <v>113</v>
      </c>
      <c r="K58" s="76"/>
      <c r="L58" s="76"/>
      <c r="M58" s="76"/>
      <c r="N58" s="479">
        <v>580</v>
      </c>
      <c r="O58" s="480">
        <f t="shared" si="12"/>
        <v>65.54</v>
      </c>
      <c r="P58" s="421"/>
      <c r="R58" s="105"/>
      <c r="T58" s="661">
        <f>C58-M58-'[1]СВОД'!C58</f>
        <v>0</v>
      </c>
    </row>
    <row r="59" spans="1:20" ht="18" customHeight="1">
      <c r="A59" s="78" t="s">
        <v>314</v>
      </c>
      <c r="B59" s="82" t="s">
        <v>338</v>
      </c>
      <c r="C59" s="77">
        <f t="shared" si="9"/>
        <v>13</v>
      </c>
      <c r="D59" s="76"/>
      <c r="E59" s="76"/>
      <c r="F59" s="76"/>
      <c r="G59" s="358"/>
      <c r="H59" s="76"/>
      <c r="I59" s="76"/>
      <c r="J59" s="76">
        <v>13</v>
      </c>
      <c r="K59" s="76"/>
      <c r="L59" s="76"/>
      <c r="M59" s="76"/>
      <c r="N59" s="479">
        <v>359.1</v>
      </c>
      <c r="O59" s="480">
        <f t="shared" si="12"/>
        <v>4.6683</v>
      </c>
      <c r="P59" s="421"/>
      <c r="R59" s="105"/>
      <c r="T59" s="661">
        <f>C59-M59-'[1]СВОД'!C59</f>
        <v>0</v>
      </c>
    </row>
    <row r="60" spans="1:20" ht="18" customHeight="1">
      <c r="A60" s="78" t="s">
        <v>315</v>
      </c>
      <c r="B60" s="82" t="s">
        <v>331</v>
      </c>
      <c r="C60" s="77">
        <f t="shared" si="9"/>
        <v>15</v>
      </c>
      <c r="D60" s="76"/>
      <c r="E60" s="76"/>
      <c r="F60" s="76"/>
      <c r="G60" s="358"/>
      <c r="H60" s="76"/>
      <c r="I60" s="76"/>
      <c r="J60" s="76">
        <v>15</v>
      </c>
      <c r="K60" s="76"/>
      <c r="L60" s="76"/>
      <c r="M60" s="76"/>
      <c r="N60" s="479">
        <v>360.1</v>
      </c>
      <c r="O60" s="480">
        <f t="shared" si="12"/>
        <v>5.4015</v>
      </c>
      <c r="P60" s="421"/>
      <c r="R60" s="105"/>
      <c r="T60" s="661">
        <f>C60-M60-'[1]СВОД'!C60</f>
        <v>0</v>
      </c>
    </row>
    <row r="61" spans="1:20" ht="28.5" customHeight="1">
      <c r="A61" s="78" t="s">
        <v>316</v>
      </c>
      <c r="B61" s="82" t="s">
        <v>332</v>
      </c>
      <c r="C61" s="77">
        <f t="shared" si="9"/>
        <v>5</v>
      </c>
      <c r="D61" s="76"/>
      <c r="E61" s="76"/>
      <c r="F61" s="76"/>
      <c r="G61" s="358"/>
      <c r="H61" s="76"/>
      <c r="I61" s="76"/>
      <c r="J61" s="76">
        <v>5</v>
      </c>
      <c r="K61" s="76"/>
      <c r="L61" s="76"/>
      <c r="M61" s="76"/>
      <c r="N61" s="479">
        <v>361.9</v>
      </c>
      <c r="O61" s="480">
        <f t="shared" si="12"/>
        <v>1.8095</v>
      </c>
      <c r="P61" s="421"/>
      <c r="R61" s="105"/>
      <c r="T61" s="661">
        <f>C61-M61-'[1]СВОД'!C61</f>
        <v>0</v>
      </c>
    </row>
    <row r="62" spans="1:20" ht="30" customHeight="1">
      <c r="A62" s="78" t="s">
        <v>317</v>
      </c>
      <c r="B62" s="82" t="s">
        <v>333</v>
      </c>
      <c r="C62" s="77">
        <f t="shared" si="9"/>
        <v>8</v>
      </c>
      <c r="D62" s="76"/>
      <c r="E62" s="76"/>
      <c r="F62" s="76"/>
      <c r="G62" s="358"/>
      <c r="H62" s="76"/>
      <c r="I62" s="76"/>
      <c r="J62" s="76">
        <v>8</v>
      </c>
      <c r="K62" s="76"/>
      <c r="L62" s="76"/>
      <c r="M62" s="76"/>
      <c r="N62" s="479">
        <v>361.9</v>
      </c>
      <c r="O62" s="480">
        <f t="shared" si="12"/>
        <v>2.8952</v>
      </c>
      <c r="P62" s="421"/>
      <c r="R62" s="105"/>
      <c r="T62" s="661">
        <f>C62-M62-'[1]СВОД'!C62</f>
        <v>0</v>
      </c>
    </row>
    <row r="63" spans="1:20" ht="16.5" customHeight="1">
      <c r="A63" s="78" t="s">
        <v>318</v>
      </c>
      <c r="B63" s="82" t="s">
        <v>334</v>
      </c>
      <c r="C63" s="77">
        <f t="shared" si="9"/>
        <v>8</v>
      </c>
      <c r="D63" s="76"/>
      <c r="E63" s="76"/>
      <c r="F63" s="76"/>
      <c r="G63" s="358"/>
      <c r="H63" s="76"/>
      <c r="I63" s="76"/>
      <c r="J63" s="76">
        <v>8</v>
      </c>
      <c r="K63" s="76"/>
      <c r="L63" s="76"/>
      <c r="M63" s="76"/>
      <c r="N63" s="479">
        <v>300</v>
      </c>
      <c r="O63" s="480">
        <f t="shared" si="12"/>
        <v>2.4</v>
      </c>
      <c r="P63" s="421"/>
      <c r="R63" s="105"/>
      <c r="T63" s="661">
        <f>C63-M63-'[1]СВОД'!C63</f>
        <v>0</v>
      </c>
    </row>
    <row r="64" spans="1:20" ht="27.75" customHeight="1">
      <c r="A64" s="78" t="s">
        <v>319</v>
      </c>
      <c r="B64" s="82" t="s">
        <v>335</v>
      </c>
      <c r="C64" s="77">
        <f t="shared" si="9"/>
        <v>7</v>
      </c>
      <c r="D64" s="76"/>
      <c r="E64" s="76"/>
      <c r="F64" s="76"/>
      <c r="G64" s="358"/>
      <c r="H64" s="76"/>
      <c r="I64" s="76"/>
      <c r="J64" s="76">
        <v>7</v>
      </c>
      <c r="K64" s="422"/>
      <c r="L64" s="422"/>
      <c r="M64" s="76"/>
      <c r="N64" s="479">
        <v>1600</v>
      </c>
      <c r="O64" s="480"/>
      <c r="R64" s="105"/>
      <c r="T64" s="661">
        <f>C64-M64-'[1]СВОД'!C64</f>
        <v>0</v>
      </c>
    </row>
    <row r="65" spans="1:20" ht="24" customHeight="1">
      <c r="A65" s="78" t="s">
        <v>320</v>
      </c>
      <c r="B65" s="82" t="s">
        <v>336</v>
      </c>
      <c r="C65" s="77">
        <f t="shared" si="9"/>
        <v>47</v>
      </c>
      <c r="D65" s="76"/>
      <c r="E65" s="76"/>
      <c r="F65" s="76"/>
      <c r="G65" s="358"/>
      <c r="H65" s="76"/>
      <c r="I65" s="76"/>
      <c r="J65" s="76">
        <v>47</v>
      </c>
      <c r="K65" s="422"/>
      <c r="L65" s="422"/>
      <c r="M65" s="76"/>
      <c r="N65" s="479">
        <v>520</v>
      </c>
      <c r="O65" s="480"/>
      <c r="R65" s="105"/>
      <c r="T65" s="661">
        <f>C65-M65-'[1]СВОД'!C65</f>
        <v>0</v>
      </c>
    </row>
    <row r="66" spans="1:20" ht="21" customHeight="1">
      <c r="A66" s="78" t="s">
        <v>321</v>
      </c>
      <c r="B66" s="82" t="s">
        <v>337</v>
      </c>
      <c r="C66" s="77">
        <f t="shared" si="9"/>
        <v>4</v>
      </c>
      <c r="D66" s="76"/>
      <c r="E66" s="76"/>
      <c r="F66" s="76"/>
      <c r="G66" s="358"/>
      <c r="H66" s="76"/>
      <c r="I66" s="76"/>
      <c r="J66" s="76">
        <v>4</v>
      </c>
      <c r="K66" s="422"/>
      <c r="L66" s="422"/>
      <c r="M66" s="76"/>
      <c r="N66" s="479">
        <v>1050</v>
      </c>
      <c r="O66" s="480"/>
      <c r="R66" s="105"/>
      <c r="T66" s="661">
        <f>C66-M66-'[1]СВОД'!C66</f>
        <v>0</v>
      </c>
    </row>
    <row r="67" spans="1:20" ht="34.5" customHeight="1">
      <c r="A67" s="78" t="s">
        <v>529</v>
      </c>
      <c r="B67" s="82" t="s">
        <v>520</v>
      </c>
      <c r="C67" s="77">
        <f t="shared" si="9"/>
        <v>0</v>
      </c>
      <c r="D67" s="76"/>
      <c r="E67" s="76"/>
      <c r="F67" s="76"/>
      <c r="G67" s="358"/>
      <c r="H67" s="76"/>
      <c r="I67" s="76"/>
      <c r="J67" s="422" t="s">
        <v>433</v>
      </c>
      <c r="K67" s="422"/>
      <c r="L67" s="422"/>
      <c r="M67" s="76"/>
      <c r="N67" s="479"/>
      <c r="O67" s="480"/>
      <c r="R67" s="105"/>
      <c r="T67" s="661">
        <f>C67-M67-'[1]СВОД'!C67</f>
        <v>0</v>
      </c>
    </row>
    <row r="68" spans="1:20" ht="34.5" customHeight="1">
      <c r="A68" s="78" t="s">
        <v>530</v>
      </c>
      <c r="B68" s="82" t="s">
        <v>521</v>
      </c>
      <c r="C68" s="77">
        <f t="shared" si="9"/>
        <v>0</v>
      </c>
      <c r="D68" s="76"/>
      <c r="E68" s="76"/>
      <c r="F68" s="76"/>
      <c r="G68" s="358"/>
      <c r="H68" s="76"/>
      <c r="I68" s="76"/>
      <c r="J68" s="422" t="s">
        <v>433</v>
      </c>
      <c r="K68" s="422"/>
      <c r="L68" s="422"/>
      <c r="M68" s="76"/>
      <c r="N68" s="479"/>
      <c r="O68" s="480"/>
      <c r="R68" s="105"/>
      <c r="T68" s="661">
        <f>C68-M68-'[1]СВОД'!C68</f>
        <v>0</v>
      </c>
    </row>
    <row r="69" spans="1:20" ht="34.5" customHeight="1">
      <c r="A69" s="78" t="s">
        <v>531</v>
      </c>
      <c r="B69" s="82" t="s">
        <v>522</v>
      </c>
      <c r="C69" s="77">
        <f t="shared" si="9"/>
        <v>0</v>
      </c>
      <c r="D69" s="76"/>
      <c r="E69" s="76"/>
      <c r="F69" s="76"/>
      <c r="G69" s="358"/>
      <c r="H69" s="76"/>
      <c r="I69" s="76"/>
      <c r="J69" s="422" t="s">
        <v>433</v>
      </c>
      <c r="K69" s="422"/>
      <c r="L69" s="422"/>
      <c r="M69" s="76"/>
      <c r="N69" s="479"/>
      <c r="O69" s="480"/>
      <c r="R69" s="105"/>
      <c r="T69" s="661">
        <f>C69-M69-'[1]СВОД'!C69</f>
        <v>0</v>
      </c>
    </row>
    <row r="70" spans="1:20" ht="34.5" customHeight="1">
      <c r="A70" s="78" t="s">
        <v>532</v>
      </c>
      <c r="B70" s="82" t="s">
        <v>523</v>
      </c>
      <c r="C70" s="77">
        <f t="shared" si="9"/>
        <v>897</v>
      </c>
      <c r="D70" s="76"/>
      <c r="E70" s="76"/>
      <c r="F70" s="76"/>
      <c r="G70" s="358"/>
      <c r="H70" s="76"/>
      <c r="I70" s="76"/>
      <c r="J70" s="76">
        <v>897</v>
      </c>
      <c r="K70" s="422"/>
      <c r="L70" s="422"/>
      <c r="M70" s="76"/>
      <c r="N70" s="479"/>
      <c r="O70" s="480"/>
      <c r="R70" s="105"/>
      <c r="T70" s="661">
        <f>C70-M70-'[1]СВОД'!C70</f>
        <v>0</v>
      </c>
    </row>
    <row r="71" spans="1:20" ht="34.5" customHeight="1">
      <c r="A71" s="78" t="s">
        <v>533</v>
      </c>
      <c r="B71" s="82" t="s">
        <v>524</v>
      </c>
      <c r="C71" s="77">
        <f t="shared" si="9"/>
        <v>895</v>
      </c>
      <c r="D71" s="76"/>
      <c r="E71" s="76"/>
      <c r="F71" s="76"/>
      <c r="G71" s="358"/>
      <c r="H71" s="76"/>
      <c r="I71" s="76"/>
      <c r="J71" s="76">
        <v>895</v>
      </c>
      <c r="K71" s="422"/>
      <c r="L71" s="422"/>
      <c r="M71" s="76"/>
      <c r="N71" s="479"/>
      <c r="O71" s="480"/>
      <c r="R71" s="105"/>
      <c r="T71" s="661">
        <f>C71-M71-'[1]СВОД'!C71</f>
        <v>0</v>
      </c>
    </row>
    <row r="72" spans="1:20" ht="34.5" customHeight="1">
      <c r="A72" s="78" t="s">
        <v>534</v>
      </c>
      <c r="B72" s="82" t="s">
        <v>525</v>
      </c>
      <c r="C72" s="77">
        <f t="shared" si="9"/>
        <v>0</v>
      </c>
      <c r="D72" s="76"/>
      <c r="E72" s="76"/>
      <c r="F72" s="76"/>
      <c r="G72" s="358"/>
      <c r="H72" s="76"/>
      <c r="I72" s="76"/>
      <c r="J72" s="76">
        <v>0</v>
      </c>
      <c r="K72" s="422"/>
      <c r="L72" s="422"/>
      <c r="M72" s="76"/>
      <c r="N72" s="479"/>
      <c r="O72" s="480"/>
      <c r="R72" s="105"/>
      <c r="T72" s="661">
        <f>C72-M72-'[1]СВОД'!C72</f>
        <v>0</v>
      </c>
    </row>
    <row r="73" spans="1:20" ht="34.5" customHeight="1">
      <c r="A73" s="78" t="s">
        <v>535</v>
      </c>
      <c r="B73" s="82" t="s">
        <v>526</v>
      </c>
      <c r="C73" s="77">
        <f t="shared" si="9"/>
        <v>518</v>
      </c>
      <c r="D73" s="76"/>
      <c r="E73" s="76"/>
      <c r="F73" s="76"/>
      <c r="G73" s="358"/>
      <c r="H73" s="76"/>
      <c r="I73" s="76"/>
      <c r="J73" s="76">
        <v>518</v>
      </c>
      <c r="K73" s="422"/>
      <c r="L73" s="422"/>
      <c r="M73" s="76"/>
      <c r="N73" s="479"/>
      <c r="O73" s="480"/>
      <c r="R73" s="105"/>
      <c r="T73" s="661">
        <f>C73-M73-'[1]СВОД'!C73</f>
        <v>0</v>
      </c>
    </row>
    <row r="74" spans="1:20" ht="34.5" customHeight="1">
      <c r="A74" s="78" t="s">
        <v>536</v>
      </c>
      <c r="B74" s="82" t="s">
        <v>527</v>
      </c>
      <c r="C74" s="77">
        <f>SUM(D74:M74)</f>
        <v>0</v>
      </c>
      <c r="D74" s="76"/>
      <c r="E74" s="76"/>
      <c r="F74" s="76"/>
      <c r="G74" s="358"/>
      <c r="H74" s="76"/>
      <c r="I74" s="76"/>
      <c r="J74" s="422" t="s">
        <v>433</v>
      </c>
      <c r="K74" s="422"/>
      <c r="L74" s="422"/>
      <c r="M74" s="76"/>
      <c r="N74" s="479"/>
      <c r="O74" s="480"/>
      <c r="R74" s="105"/>
      <c r="T74" s="661">
        <f>C74-M74-'[1]СВОД'!C74</f>
        <v>0</v>
      </c>
    </row>
    <row r="75" spans="1:20" ht="34.5" customHeight="1">
      <c r="A75" s="78" t="s">
        <v>537</v>
      </c>
      <c r="B75" s="82" t="s">
        <v>528</v>
      </c>
      <c r="C75" s="77">
        <f t="shared" si="9"/>
        <v>0</v>
      </c>
      <c r="D75" s="76"/>
      <c r="E75" s="76"/>
      <c r="F75" s="76"/>
      <c r="G75" s="358"/>
      <c r="H75" s="76"/>
      <c r="I75" s="76"/>
      <c r="J75" s="422" t="s">
        <v>433</v>
      </c>
      <c r="K75" s="422"/>
      <c r="L75" s="422"/>
      <c r="M75" s="76"/>
      <c r="N75" s="479"/>
      <c r="O75" s="480"/>
      <c r="R75" s="105"/>
      <c r="T75" s="661">
        <f>C75-M75-'[1]СВОД'!C75</f>
        <v>0</v>
      </c>
    </row>
    <row r="76" spans="1:20" ht="19.5" customHeight="1">
      <c r="A76" s="91">
        <v>9</v>
      </c>
      <c r="B76" s="290" t="s">
        <v>430</v>
      </c>
      <c r="C76" s="96">
        <f t="shared" si="9"/>
        <v>3506</v>
      </c>
      <c r="D76" s="96">
        <f>D77+D78</f>
        <v>3506</v>
      </c>
      <c r="E76" s="96">
        <f>E77+E78</f>
        <v>0</v>
      </c>
      <c r="F76" s="96">
        <f>F77+F78</f>
        <v>0</v>
      </c>
      <c r="G76" s="96">
        <f>G77+G78</f>
        <v>0</v>
      </c>
      <c r="H76" s="96">
        <f aca="true" t="shared" si="13" ref="H76:M76">H77+H78</f>
        <v>0</v>
      </c>
      <c r="I76" s="96">
        <f t="shared" si="13"/>
        <v>0</v>
      </c>
      <c r="J76" s="96">
        <f t="shared" si="13"/>
        <v>0</v>
      </c>
      <c r="K76" s="96">
        <f t="shared" si="13"/>
        <v>0</v>
      </c>
      <c r="L76" s="96"/>
      <c r="M76" s="96">
        <f t="shared" si="13"/>
        <v>0</v>
      </c>
      <c r="R76" s="105"/>
      <c r="T76" s="661">
        <f>C76-M76-'[1]СВОД'!C76</f>
        <v>0</v>
      </c>
    </row>
    <row r="77" spans="1:20" ht="17.25" customHeight="1">
      <c r="A77" s="78" t="s">
        <v>187</v>
      </c>
      <c r="B77" s="483" t="s">
        <v>124</v>
      </c>
      <c r="C77" s="484">
        <f t="shared" si="9"/>
        <v>1401</v>
      </c>
      <c r="D77" s="467">
        <v>1401</v>
      </c>
      <c r="E77" s="76">
        <v>0</v>
      </c>
      <c r="F77" s="76">
        <v>0</v>
      </c>
      <c r="G77" s="358">
        <v>0</v>
      </c>
      <c r="H77" s="76">
        <v>0</v>
      </c>
      <c r="I77" s="76">
        <v>0</v>
      </c>
      <c r="J77" s="76">
        <v>0</v>
      </c>
      <c r="K77" s="76"/>
      <c r="L77" s="76"/>
      <c r="M77" s="76">
        <v>0</v>
      </c>
      <c r="N77" s="71">
        <v>1114.5</v>
      </c>
      <c r="O77" s="421">
        <f>N77*C77/1000</f>
        <v>1561.4145</v>
      </c>
      <c r="R77" s="105"/>
      <c r="T77" s="661">
        <f>C77-M77-'[1]СВОД'!C77</f>
        <v>0</v>
      </c>
    </row>
    <row r="78" spans="1:20" ht="17.25" customHeight="1">
      <c r="A78" s="78" t="s">
        <v>188</v>
      </c>
      <c r="B78" s="483" t="s">
        <v>125</v>
      </c>
      <c r="C78" s="484">
        <f t="shared" si="9"/>
        <v>2105</v>
      </c>
      <c r="D78" s="467">
        <v>2105</v>
      </c>
      <c r="E78" s="76">
        <v>0</v>
      </c>
      <c r="F78" s="76">
        <v>0</v>
      </c>
      <c r="G78" s="358">
        <v>0</v>
      </c>
      <c r="H78" s="76">
        <v>0</v>
      </c>
      <c r="I78" s="76">
        <v>0</v>
      </c>
      <c r="J78" s="76">
        <v>0</v>
      </c>
      <c r="K78" s="76"/>
      <c r="L78" s="76"/>
      <c r="M78" s="76">
        <v>0</v>
      </c>
      <c r="N78" s="71">
        <v>1942.9</v>
      </c>
      <c r="O78" s="421">
        <f>N78*C78/1000</f>
        <v>4089.8045</v>
      </c>
      <c r="R78" s="105"/>
      <c r="T78" s="661">
        <f>C78-M78-'[1]СВОД'!C78</f>
        <v>0</v>
      </c>
    </row>
    <row r="79" spans="1:20" ht="15.75">
      <c r="A79" s="100">
        <v>10</v>
      </c>
      <c r="B79" s="290" t="s">
        <v>431</v>
      </c>
      <c r="C79" s="92">
        <f t="shared" si="9"/>
        <v>1505</v>
      </c>
      <c r="D79" s="92">
        <f aca="true" t="shared" si="14" ref="D79:M79">D80+D81</f>
        <v>0</v>
      </c>
      <c r="E79" s="92">
        <f t="shared" si="14"/>
        <v>0</v>
      </c>
      <c r="F79" s="92">
        <f t="shared" si="14"/>
        <v>0</v>
      </c>
      <c r="G79" s="92">
        <f t="shared" si="14"/>
        <v>1200</v>
      </c>
      <c r="H79" s="92">
        <f t="shared" si="14"/>
        <v>0</v>
      </c>
      <c r="I79" s="92">
        <f t="shared" si="14"/>
        <v>0</v>
      </c>
      <c r="J79" s="92">
        <f t="shared" si="14"/>
        <v>0</v>
      </c>
      <c r="K79" s="92">
        <f t="shared" si="14"/>
        <v>305</v>
      </c>
      <c r="L79" s="92"/>
      <c r="M79" s="92">
        <f t="shared" si="14"/>
        <v>0</v>
      </c>
      <c r="T79" s="661">
        <f>C79-M79-'[1]СВОД'!C79</f>
        <v>0</v>
      </c>
    </row>
    <row r="80" spans="1:20" ht="15.75">
      <c r="A80" s="78" t="s">
        <v>339</v>
      </c>
      <c r="B80" s="82" t="s">
        <v>341</v>
      </c>
      <c r="C80" s="77">
        <f t="shared" si="9"/>
        <v>1200</v>
      </c>
      <c r="D80" s="79">
        <v>0</v>
      </c>
      <c r="E80" s="79">
        <v>0</v>
      </c>
      <c r="F80" s="79">
        <v>0</v>
      </c>
      <c r="G80" s="79">
        <v>1200</v>
      </c>
      <c r="H80" s="79">
        <v>0</v>
      </c>
      <c r="I80" s="79">
        <v>0</v>
      </c>
      <c r="J80" s="79">
        <v>0</v>
      </c>
      <c r="K80" s="79"/>
      <c r="L80" s="79"/>
      <c r="M80" s="79">
        <v>0</v>
      </c>
      <c r="N80" s="71">
        <v>2369.9</v>
      </c>
      <c r="O80" s="71">
        <f>N80*G80/1000</f>
        <v>2843.88</v>
      </c>
      <c r="T80" s="661">
        <f>C80-M80-'[1]СВОД'!C80</f>
        <v>0</v>
      </c>
    </row>
    <row r="81" spans="1:20" ht="17.25" customHeight="1">
      <c r="A81" s="78" t="s">
        <v>340</v>
      </c>
      <c r="B81" s="82" t="s">
        <v>322</v>
      </c>
      <c r="C81" s="77">
        <f t="shared" si="9"/>
        <v>305</v>
      </c>
      <c r="D81" s="76"/>
      <c r="E81" s="76">
        <v>0</v>
      </c>
      <c r="F81" s="76">
        <v>0</v>
      </c>
      <c r="G81" s="358">
        <v>0</v>
      </c>
      <c r="H81" s="76">
        <v>0</v>
      </c>
      <c r="I81" s="76">
        <v>0</v>
      </c>
      <c r="J81" s="76">
        <v>0</v>
      </c>
      <c r="K81" s="76">
        <v>305</v>
      </c>
      <c r="L81" s="76"/>
      <c r="M81" s="76">
        <v>0</v>
      </c>
      <c r="N81" s="71">
        <v>1843.6</v>
      </c>
      <c r="O81" s="71">
        <f>N81*K81/1000</f>
        <v>562.298</v>
      </c>
      <c r="T81" s="661">
        <f>C81-M81-'[1]СВОД'!C81</f>
        <v>0</v>
      </c>
    </row>
    <row r="82" ht="15">
      <c r="C82" s="336"/>
    </row>
  </sheetData>
  <sheetProtection/>
  <mergeCells count="3">
    <mergeCell ref="A4:M4"/>
    <mergeCell ref="A3:M3"/>
    <mergeCell ref="J1:M1"/>
  </mergeCells>
  <printOptions/>
  <pageMargins left="0.1968503937007874" right="0.1968503937007874" top="0.7874015748031497" bottom="0.31496062992125984" header="0.31496062992125984" footer="0.31496062992125984"/>
  <pageSetup firstPageNumber="1" useFirstPageNumber="1" horizontalDpi="600" verticalDpi="600" orientation="landscape" paperSize="9" scale="70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O249"/>
  <sheetViews>
    <sheetView view="pageBreakPreview" zoomScale="80" zoomScaleSheetLayoutView="80" zoomScalePageLayoutView="0" workbookViewId="0" topLeftCell="A1">
      <pane xSplit="3" ySplit="7" topLeftCell="D9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58" sqref="H58"/>
    </sheetView>
  </sheetViews>
  <sheetFormatPr defaultColWidth="9.140625" defaultRowHeight="12.75"/>
  <cols>
    <col min="1" max="2" width="9.421875" style="122" customWidth="1"/>
    <col min="3" max="3" width="89.7109375" style="122" customWidth="1"/>
    <col min="4" max="4" width="18.8515625" style="122" customWidth="1"/>
    <col min="5" max="6" width="9.140625" style="122" customWidth="1"/>
    <col min="7" max="7" width="11.7109375" style="122" customWidth="1"/>
    <col min="8" max="16384" width="9.140625" style="122" customWidth="1"/>
  </cols>
  <sheetData>
    <row r="1" ht="15.75">
      <c r="D1" s="388" t="s">
        <v>289</v>
      </c>
    </row>
    <row r="3" spans="1:4" s="120" customFormat="1" ht="13.5" customHeight="1">
      <c r="A3" s="432"/>
      <c r="B3" s="121"/>
      <c r="C3" s="121"/>
      <c r="D3" s="121"/>
    </row>
    <row r="4" spans="2:4" s="120" customFormat="1" ht="31.5" customHeight="1">
      <c r="B4" s="743" t="s">
        <v>291</v>
      </c>
      <c r="C4" s="743"/>
      <c r="D4" s="743"/>
    </row>
    <row r="5" ht="15.75" thickBot="1"/>
    <row r="6" spans="1:4" ht="48.75" customHeight="1" thickBot="1" thickTop="1">
      <c r="A6" s="118" t="s">
        <v>345</v>
      </c>
      <c r="B6" s="118" t="s">
        <v>169</v>
      </c>
      <c r="C6" s="119" t="s">
        <v>84</v>
      </c>
      <c r="D6" s="115" t="s">
        <v>170</v>
      </c>
    </row>
    <row r="7" spans="1:4" ht="21.75" customHeight="1" thickBot="1" thickTop="1">
      <c r="A7" s="745" t="s">
        <v>244</v>
      </c>
      <c r="B7" s="745"/>
      <c r="C7" s="745"/>
      <c r="D7" s="745"/>
    </row>
    <row r="8" spans="1:4" ht="15.75" customHeight="1" thickTop="1">
      <c r="A8" s="13">
        <v>6</v>
      </c>
      <c r="B8" s="13"/>
      <c r="C8" s="14" t="s">
        <v>226</v>
      </c>
      <c r="D8" s="332">
        <v>380</v>
      </c>
    </row>
    <row r="9" spans="1:4" ht="15.75" customHeight="1">
      <c r="A9" s="13">
        <v>5</v>
      </c>
      <c r="B9" s="13"/>
      <c r="C9" s="14" t="s">
        <v>225</v>
      </c>
      <c r="D9" s="332">
        <f>114-26</f>
        <v>88</v>
      </c>
    </row>
    <row r="10" spans="1:4" ht="15.75" customHeight="1">
      <c r="A10" s="13">
        <v>4</v>
      </c>
      <c r="B10" s="13"/>
      <c r="C10" s="14" t="s">
        <v>224</v>
      </c>
      <c r="D10" s="332">
        <v>72</v>
      </c>
    </row>
    <row r="11" spans="1:4" ht="15.75">
      <c r="A11" s="13">
        <v>14</v>
      </c>
      <c r="B11" s="13"/>
      <c r="C11" s="14" t="s">
        <v>15</v>
      </c>
      <c r="D11" s="332">
        <f>369+20</f>
        <v>389</v>
      </c>
    </row>
    <row r="12" spans="1:15" ht="15.75">
      <c r="A12" s="13">
        <v>15</v>
      </c>
      <c r="B12" s="13"/>
      <c r="C12" s="14" t="s">
        <v>16</v>
      </c>
      <c r="D12" s="332">
        <v>186</v>
      </c>
      <c r="O12" s="122" t="s">
        <v>58</v>
      </c>
    </row>
    <row r="13" spans="1:4" ht="15.75">
      <c r="A13" s="13">
        <v>16</v>
      </c>
      <c r="B13" s="13"/>
      <c r="C13" s="14" t="s">
        <v>83</v>
      </c>
      <c r="D13" s="332">
        <v>39</v>
      </c>
    </row>
    <row r="14" spans="1:4" ht="15.75">
      <c r="A14" s="13">
        <v>17</v>
      </c>
      <c r="B14" s="13"/>
      <c r="C14" s="14" t="s">
        <v>49</v>
      </c>
      <c r="D14" s="332">
        <v>262</v>
      </c>
    </row>
    <row r="15" spans="1:4" ht="15.75">
      <c r="A15" s="13">
        <v>17</v>
      </c>
      <c r="B15" s="13"/>
      <c r="C15" s="14" t="s">
        <v>52</v>
      </c>
      <c r="D15" s="332">
        <v>44</v>
      </c>
    </row>
    <row r="16" spans="1:5" ht="15.75">
      <c r="A16" s="15">
        <v>24</v>
      </c>
      <c r="B16" s="15"/>
      <c r="C16" s="16" t="s">
        <v>23</v>
      </c>
      <c r="D16" s="334">
        <v>1092</v>
      </c>
      <c r="E16" s="125"/>
    </row>
    <row r="17" spans="1:5" ht="15.75">
      <c r="A17" s="15">
        <v>24</v>
      </c>
      <c r="B17" s="15"/>
      <c r="C17" s="16" t="s">
        <v>25</v>
      </c>
      <c r="D17" s="334">
        <v>315</v>
      </c>
      <c r="E17" s="125"/>
    </row>
    <row r="18" spans="1:4" ht="15.75">
      <c r="A18" s="15">
        <v>26</v>
      </c>
      <c r="B18" s="15"/>
      <c r="C18" s="16" t="s">
        <v>17</v>
      </c>
      <c r="D18" s="334">
        <f>642+270</f>
        <v>912</v>
      </c>
    </row>
    <row r="19" spans="1:4" ht="15.75">
      <c r="A19" s="15">
        <v>26</v>
      </c>
      <c r="B19" s="68"/>
      <c r="C19" s="407" t="s">
        <v>302</v>
      </c>
      <c r="D19" s="334"/>
    </row>
    <row r="20" spans="1:4" ht="60">
      <c r="A20" s="58">
        <f>A18</f>
        <v>26</v>
      </c>
      <c r="B20" s="58">
        <v>37</v>
      </c>
      <c r="C20" s="157" t="s">
        <v>349</v>
      </c>
      <c r="D20" s="642">
        <v>55</v>
      </c>
    </row>
    <row r="21" spans="1:4" s="158" customFormat="1" ht="64.5" customHeight="1">
      <c r="A21" s="58">
        <f>A18</f>
        <v>26</v>
      </c>
      <c r="B21" s="58">
        <v>38</v>
      </c>
      <c r="C21" s="157" t="s">
        <v>358</v>
      </c>
      <c r="D21" s="642">
        <v>23</v>
      </c>
    </row>
    <row r="22" spans="1:4" s="158" customFormat="1" ht="58.5" customHeight="1">
      <c r="A22" s="58">
        <f>A18</f>
        <v>26</v>
      </c>
      <c r="B22" s="58">
        <v>39</v>
      </c>
      <c r="C22" s="157" t="s">
        <v>357</v>
      </c>
      <c r="D22" s="642">
        <v>15</v>
      </c>
    </row>
    <row r="23" spans="1:4" s="158" customFormat="1" ht="62.25" customHeight="1">
      <c r="A23" s="58">
        <f>A18</f>
        <v>26</v>
      </c>
      <c r="B23" s="58">
        <v>40</v>
      </c>
      <c r="C23" s="157" t="s">
        <v>356</v>
      </c>
      <c r="D23" s="642">
        <v>28</v>
      </c>
    </row>
    <row r="24" spans="1:4" s="158" customFormat="1" ht="65.25" customHeight="1">
      <c r="A24" s="58">
        <f>A18</f>
        <v>26</v>
      </c>
      <c r="B24" s="58">
        <v>41</v>
      </c>
      <c r="C24" s="157" t="s">
        <v>355</v>
      </c>
      <c r="D24" s="642">
        <v>11</v>
      </c>
    </row>
    <row r="25" spans="1:4" s="158" customFormat="1" ht="61.5" customHeight="1">
      <c r="A25" s="58">
        <f>A24</f>
        <v>26</v>
      </c>
      <c r="B25" s="58">
        <v>42</v>
      </c>
      <c r="C25" s="157" t="s">
        <v>354</v>
      </c>
      <c r="D25" s="642">
        <v>5</v>
      </c>
    </row>
    <row r="26" spans="1:4" s="158" customFormat="1" ht="47.25" customHeight="1">
      <c r="A26" s="58">
        <f>A24</f>
        <v>26</v>
      </c>
      <c r="B26" s="58">
        <v>43</v>
      </c>
      <c r="C26" s="157" t="s">
        <v>353</v>
      </c>
      <c r="D26" s="642">
        <v>60</v>
      </c>
    </row>
    <row r="27" spans="1:4" s="158" customFormat="1" ht="48" customHeight="1">
      <c r="A27" s="58">
        <f>A26</f>
        <v>26</v>
      </c>
      <c r="B27" s="58">
        <v>44</v>
      </c>
      <c r="C27" s="157" t="s">
        <v>352</v>
      </c>
      <c r="D27" s="642">
        <v>25</v>
      </c>
    </row>
    <row r="28" spans="1:4" s="158" customFormat="1" ht="44.25" customHeight="1">
      <c r="A28" s="58">
        <f>A26</f>
        <v>26</v>
      </c>
      <c r="B28" s="58">
        <v>45</v>
      </c>
      <c r="C28" s="157" t="s">
        <v>351</v>
      </c>
      <c r="D28" s="642">
        <v>6</v>
      </c>
    </row>
    <row r="29" spans="1:4" s="158" customFormat="1" ht="46.5" customHeight="1">
      <c r="A29" s="58">
        <v>26</v>
      </c>
      <c r="B29" s="58">
        <v>49</v>
      </c>
      <c r="C29" s="157" t="s">
        <v>350</v>
      </c>
      <c r="D29" s="642">
        <v>8</v>
      </c>
    </row>
    <row r="30" spans="1:4" s="158" customFormat="1" ht="31.5" customHeight="1">
      <c r="A30" s="58">
        <f>A28</f>
        <v>26</v>
      </c>
      <c r="B30" s="58">
        <v>51</v>
      </c>
      <c r="C30" s="157" t="s">
        <v>435</v>
      </c>
      <c r="D30" s="642">
        <v>34</v>
      </c>
    </row>
    <row r="31" spans="1:4" ht="15.75">
      <c r="A31" s="13">
        <v>30</v>
      </c>
      <c r="B31" s="13"/>
      <c r="C31" s="14" t="s">
        <v>363</v>
      </c>
      <c r="D31" s="332">
        <v>142</v>
      </c>
    </row>
    <row r="32" spans="1:4" ht="31.5">
      <c r="A32" s="13">
        <v>32</v>
      </c>
      <c r="B32" s="13"/>
      <c r="C32" s="14" t="s">
        <v>364</v>
      </c>
      <c r="D32" s="332">
        <v>237</v>
      </c>
    </row>
    <row r="33" spans="1:4" ht="15.75">
      <c r="A33" s="13">
        <v>31</v>
      </c>
      <c r="B33" s="13"/>
      <c r="C33" s="14" t="s">
        <v>365</v>
      </c>
      <c r="D33" s="332">
        <v>142</v>
      </c>
    </row>
    <row r="34" spans="1:5" ht="15.75">
      <c r="A34" s="13">
        <v>34</v>
      </c>
      <c r="B34" s="13"/>
      <c r="C34" s="14" t="s">
        <v>26</v>
      </c>
      <c r="D34" s="332">
        <f>373+373+26+10</f>
        <v>782</v>
      </c>
      <c r="E34" s="125"/>
    </row>
    <row r="35" spans="1:5" ht="15.75">
      <c r="A35" s="13">
        <v>38</v>
      </c>
      <c r="B35" s="13"/>
      <c r="C35" s="14" t="s">
        <v>37</v>
      </c>
      <c r="D35" s="332">
        <f>302+28</f>
        <v>330</v>
      </c>
      <c r="E35" s="125"/>
    </row>
    <row r="36" spans="1:7" ht="15.75">
      <c r="A36" s="13">
        <v>41</v>
      </c>
      <c r="B36" s="13"/>
      <c r="C36" s="14" t="s">
        <v>18</v>
      </c>
      <c r="D36" s="332">
        <v>394</v>
      </c>
      <c r="G36" s="66"/>
    </row>
    <row r="37" spans="1:7" ht="15.75">
      <c r="A37" s="13">
        <v>42</v>
      </c>
      <c r="B37" s="13"/>
      <c r="C37" s="14" t="s">
        <v>80</v>
      </c>
      <c r="D37" s="332">
        <v>478</v>
      </c>
      <c r="E37" s="281"/>
      <c r="G37" s="66"/>
    </row>
    <row r="38" spans="1:7" ht="15.75">
      <c r="A38" s="13">
        <v>42</v>
      </c>
      <c r="B38" s="13"/>
      <c r="C38" s="14" t="s">
        <v>81</v>
      </c>
      <c r="D38" s="332">
        <f>422+24</f>
        <v>446</v>
      </c>
      <c r="E38" s="281"/>
      <c r="G38" s="66"/>
    </row>
    <row r="39" spans="1:7" ht="15.75">
      <c r="A39" s="13">
        <v>64</v>
      </c>
      <c r="B39" s="13"/>
      <c r="C39" s="14" t="s">
        <v>303</v>
      </c>
      <c r="D39" s="332">
        <f>204-24</f>
        <v>180</v>
      </c>
      <c r="G39" s="66"/>
    </row>
    <row r="40" spans="1:4" ht="15.75">
      <c r="A40" s="13">
        <v>50</v>
      </c>
      <c r="B40" s="13"/>
      <c r="C40" s="14" t="s">
        <v>346</v>
      </c>
      <c r="D40" s="332">
        <f>376+50</f>
        <v>426</v>
      </c>
    </row>
    <row r="41" spans="1:4" ht="15.75">
      <c r="A41" s="13">
        <v>52</v>
      </c>
      <c r="B41" s="13"/>
      <c r="C41" s="14" t="s">
        <v>19</v>
      </c>
      <c r="D41" s="332">
        <v>445</v>
      </c>
    </row>
    <row r="42" spans="1:4" ht="15.75">
      <c r="A42" s="13">
        <v>55</v>
      </c>
      <c r="B42" s="13"/>
      <c r="C42" s="14" t="s">
        <v>24</v>
      </c>
      <c r="D42" s="332">
        <v>513</v>
      </c>
    </row>
    <row r="43" spans="1:4" ht="15.75">
      <c r="A43" s="13">
        <v>63</v>
      </c>
      <c r="B43" s="13"/>
      <c r="C43" s="14" t="s">
        <v>20</v>
      </c>
      <c r="D43" s="332">
        <v>512</v>
      </c>
    </row>
    <row r="44" spans="1:4" ht="15.75">
      <c r="A44" s="13">
        <v>65</v>
      </c>
      <c r="B44" s="13"/>
      <c r="C44" s="14" t="s">
        <v>51</v>
      </c>
      <c r="D44" s="332">
        <v>15</v>
      </c>
    </row>
    <row r="45" spans="1:4" ht="15.75">
      <c r="A45" s="13">
        <v>67</v>
      </c>
      <c r="B45" s="13"/>
      <c r="C45" s="14" t="s">
        <v>27</v>
      </c>
      <c r="D45" s="332">
        <v>266</v>
      </c>
    </row>
    <row r="46" spans="1:4" ht="15.75">
      <c r="A46" s="13">
        <v>71</v>
      </c>
      <c r="B46" s="13"/>
      <c r="C46" s="14" t="s">
        <v>21</v>
      </c>
      <c r="D46" s="332">
        <f>1536-10</f>
        <v>1526</v>
      </c>
    </row>
    <row r="47" spans="1:5" ht="18" customHeight="1">
      <c r="A47" s="13">
        <v>74</v>
      </c>
      <c r="B47" s="8"/>
      <c r="C47" s="17" t="s">
        <v>85</v>
      </c>
      <c r="D47" s="332">
        <f>375</f>
        <v>375</v>
      </c>
      <c r="E47" s="125"/>
    </row>
    <row r="48" spans="1:7" ht="15.75">
      <c r="A48" s="8">
        <v>74</v>
      </c>
      <c r="B48" s="408"/>
      <c r="C48" s="407" t="s">
        <v>302</v>
      </c>
      <c r="D48" s="439"/>
      <c r="F48" s="292"/>
      <c r="G48" s="292"/>
    </row>
    <row r="49" spans="1:7" s="158" customFormat="1" ht="47.25" customHeight="1">
      <c r="A49" s="746">
        <f>A47</f>
        <v>74</v>
      </c>
      <c r="B49" s="746">
        <v>56</v>
      </c>
      <c r="C49" s="157" t="s">
        <v>359</v>
      </c>
      <c r="D49" s="749">
        <v>100</v>
      </c>
      <c r="F49" s="409"/>
      <c r="G49" s="409"/>
    </row>
    <row r="50" spans="1:7" s="158" customFormat="1" ht="61.5" customHeight="1">
      <c r="A50" s="747"/>
      <c r="B50" s="747"/>
      <c r="C50" s="157" t="s">
        <v>304</v>
      </c>
      <c r="D50" s="750"/>
      <c r="F50" s="409"/>
      <c r="G50" s="409"/>
    </row>
    <row r="51" spans="1:7" s="158" customFormat="1" ht="46.5" customHeight="1">
      <c r="A51" s="748"/>
      <c r="B51" s="748"/>
      <c r="C51" s="157" t="s">
        <v>305</v>
      </c>
      <c r="D51" s="751"/>
      <c r="F51" s="409"/>
      <c r="G51" s="409"/>
    </row>
    <row r="52" spans="1:7" s="158" customFormat="1" ht="63.75" customHeight="1">
      <c r="A52" s="410">
        <v>74</v>
      </c>
      <c r="B52" s="410">
        <v>59</v>
      </c>
      <c r="C52" s="157" t="s">
        <v>306</v>
      </c>
      <c r="D52" s="440">
        <v>90</v>
      </c>
      <c r="F52" s="409"/>
      <c r="G52" s="409"/>
    </row>
    <row r="53" spans="1:7" ht="15.75">
      <c r="A53" s="13">
        <f>A47</f>
        <v>74</v>
      </c>
      <c r="B53" s="13"/>
      <c r="C53" s="14" t="s">
        <v>307</v>
      </c>
      <c r="D53" s="332">
        <f>647+100</f>
        <v>747</v>
      </c>
      <c r="F53" s="292"/>
      <c r="G53" s="292"/>
    </row>
    <row r="54" spans="1:7" ht="15.75">
      <c r="A54" s="13">
        <v>77</v>
      </c>
      <c r="B54" s="13"/>
      <c r="C54" s="18" t="s">
        <v>48</v>
      </c>
      <c r="D54" s="441">
        <v>586</v>
      </c>
      <c r="F54" s="292"/>
      <c r="G54" s="292"/>
    </row>
    <row r="55" spans="1:7" ht="15.75">
      <c r="A55" s="19">
        <v>80</v>
      </c>
      <c r="B55" s="19"/>
      <c r="C55" s="18" t="s">
        <v>29</v>
      </c>
      <c r="D55" s="332">
        <f>2225+30</f>
        <v>2255</v>
      </c>
      <c r="E55" s="125"/>
      <c r="F55" s="292"/>
      <c r="G55" s="292"/>
    </row>
    <row r="56" spans="1:7" ht="15.75">
      <c r="A56" s="8">
        <v>82</v>
      </c>
      <c r="B56" s="19"/>
      <c r="C56" s="18" t="s">
        <v>67</v>
      </c>
      <c r="D56" s="332">
        <v>40</v>
      </c>
      <c r="F56" s="292"/>
      <c r="G56" s="292"/>
    </row>
    <row r="57" spans="1:7" ht="15.75">
      <c r="A57" s="15">
        <v>84</v>
      </c>
      <c r="B57" s="15"/>
      <c r="C57" s="16" t="s">
        <v>39</v>
      </c>
      <c r="D57" s="334">
        <v>100</v>
      </c>
      <c r="F57" s="292"/>
      <c r="G57" s="292"/>
    </row>
    <row r="58" spans="1:7" ht="16.5" thickBot="1">
      <c r="A58" s="20">
        <v>85</v>
      </c>
      <c r="B58" s="20"/>
      <c r="C58" s="17" t="s">
        <v>22</v>
      </c>
      <c r="D58" s="442">
        <v>230</v>
      </c>
      <c r="F58" s="292"/>
      <c r="G58" s="292"/>
    </row>
    <row r="59" spans="1:11" ht="16.5" thickTop="1">
      <c r="A59" s="21"/>
      <c r="B59" s="21"/>
      <c r="C59" s="22" t="s">
        <v>171</v>
      </c>
      <c r="D59" s="126">
        <f>SUM(D53:D58)+SUM(D31:D47)+SUM(D8:D18)</f>
        <v>14946</v>
      </c>
      <c r="E59" s="127"/>
      <c r="F59" s="128"/>
      <c r="G59" s="128"/>
      <c r="H59" s="128"/>
      <c r="I59" s="129"/>
      <c r="J59" s="129"/>
      <c r="K59" s="129"/>
    </row>
    <row r="60" spans="1:11" ht="15.75">
      <c r="A60" s="411">
        <f>A37</f>
        <v>42</v>
      </c>
      <c r="B60" s="411"/>
      <c r="C60" s="412" t="s">
        <v>168</v>
      </c>
      <c r="D60" s="147">
        <f>D37+D38+D39</f>
        <v>1104</v>
      </c>
      <c r="E60" s="127"/>
      <c r="F60" s="128"/>
      <c r="G60" s="128"/>
      <c r="H60" s="128"/>
      <c r="I60" s="129"/>
      <c r="J60" s="129"/>
      <c r="K60" s="129"/>
    </row>
    <row r="61" spans="1:11" s="133" customFormat="1" ht="16.5" thickBot="1">
      <c r="A61" s="23"/>
      <c r="B61" s="23"/>
      <c r="C61" s="117" t="s">
        <v>167</v>
      </c>
      <c r="D61" s="130">
        <f>SUM(D49:D52)+SUM(D19:D30)</f>
        <v>460</v>
      </c>
      <c r="E61" s="122"/>
      <c r="F61" s="131"/>
      <c r="G61" s="131"/>
      <c r="H61" s="131"/>
      <c r="I61" s="132"/>
      <c r="J61" s="132"/>
      <c r="K61" s="132"/>
    </row>
    <row r="62" spans="2:11" ht="17.25" hidden="1" thickBot="1" thickTop="1">
      <c r="B62" s="744"/>
      <c r="C62" s="745"/>
      <c r="D62" s="745"/>
      <c r="F62" s="129"/>
      <c r="G62" s="129"/>
      <c r="H62" s="129"/>
      <c r="I62" s="129"/>
      <c r="J62" s="129"/>
      <c r="K62" s="129"/>
    </row>
    <row r="63" spans="1:11" ht="17.25" hidden="1" thickBot="1" thickTop="1">
      <c r="A63" s="24"/>
      <c r="B63" s="24"/>
      <c r="C63" s="25"/>
      <c r="D63" s="24"/>
      <c r="F63" s="129"/>
      <c r="G63" s="129"/>
      <c r="H63" s="129"/>
      <c r="I63" s="129"/>
      <c r="J63" s="129"/>
      <c r="K63" s="129"/>
    </row>
    <row r="64" spans="1:11" s="134" customFormat="1" ht="17.25" hidden="1" thickBot="1" thickTop="1">
      <c r="A64" s="68"/>
      <c r="B64" s="68"/>
      <c r="C64" s="90"/>
      <c r="D64" s="68"/>
      <c r="F64" s="129"/>
      <c r="G64" s="135"/>
      <c r="H64" s="135"/>
      <c r="I64" s="135"/>
      <c r="J64" s="135"/>
      <c r="K64" s="135"/>
    </row>
    <row r="65" spans="1:11" ht="20.25" customHeight="1" hidden="1">
      <c r="A65" s="15"/>
      <c r="B65" s="15"/>
      <c r="C65" s="16"/>
      <c r="D65" s="15"/>
      <c r="F65" s="129"/>
      <c r="G65" s="129"/>
      <c r="H65" s="129"/>
      <c r="I65" s="129"/>
      <c r="J65" s="129"/>
      <c r="K65" s="129"/>
    </row>
    <row r="66" spans="1:11" ht="17.25" hidden="1" thickBot="1" thickTop="1">
      <c r="A66" s="89"/>
      <c r="B66" s="89"/>
      <c r="C66" s="14"/>
      <c r="D66" s="13"/>
      <c r="F66" s="129"/>
      <c r="G66" s="129"/>
      <c r="H66" s="129"/>
      <c r="I66" s="129"/>
      <c r="J66" s="129"/>
      <c r="K66" s="129"/>
    </row>
    <row r="67" spans="1:11" ht="17.25" hidden="1" thickBot="1" thickTop="1">
      <c r="A67" s="21"/>
      <c r="B67" s="21"/>
      <c r="C67" s="22"/>
      <c r="D67" s="156"/>
      <c r="E67" s="127"/>
      <c r="F67" s="128"/>
      <c r="G67" s="128"/>
      <c r="H67" s="128"/>
      <c r="I67" s="129"/>
      <c r="J67" s="129"/>
      <c r="K67" s="129"/>
    </row>
    <row r="68" spans="1:11" ht="17.25" hidden="1" thickBot="1" thickTop="1">
      <c r="A68" s="153"/>
      <c r="B68" s="153"/>
      <c r="C68" s="154"/>
      <c r="D68" s="155"/>
      <c r="E68" s="127"/>
      <c r="F68" s="128"/>
      <c r="G68" s="128"/>
      <c r="H68" s="128"/>
      <c r="I68" s="129"/>
      <c r="J68" s="129"/>
      <c r="K68" s="129"/>
    </row>
    <row r="69" spans="1:11" ht="22.5" customHeight="1" thickBot="1" thickTop="1">
      <c r="A69" s="745" t="s">
        <v>507</v>
      </c>
      <c r="B69" s="745"/>
      <c r="C69" s="745"/>
      <c r="D69" s="745"/>
      <c r="F69" s="129"/>
      <c r="G69" s="129"/>
      <c r="H69" s="129"/>
      <c r="I69" s="129"/>
      <c r="J69" s="129"/>
      <c r="K69" s="129"/>
    </row>
    <row r="70" spans="1:7" ht="16.5" thickTop="1">
      <c r="A70" s="29">
        <v>22</v>
      </c>
      <c r="B70" s="29"/>
      <c r="C70" s="30" t="s">
        <v>34</v>
      </c>
      <c r="D70" s="137">
        <v>88</v>
      </c>
      <c r="F70" s="292"/>
      <c r="G70" s="292"/>
    </row>
    <row r="71" spans="1:7" ht="15.75">
      <c r="A71" s="29">
        <v>19</v>
      </c>
      <c r="B71" s="29"/>
      <c r="C71" s="30" t="s">
        <v>72</v>
      </c>
      <c r="D71" s="137">
        <v>36</v>
      </c>
      <c r="F71" s="292"/>
      <c r="G71" s="292"/>
    </row>
    <row r="72" spans="1:7" ht="15.75">
      <c r="A72" s="36">
        <v>21</v>
      </c>
      <c r="B72" s="36"/>
      <c r="C72" s="37" t="s">
        <v>227</v>
      </c>
      <c r="D72" s="188">
        <v>64</v>
      </c>
      <c r="F72" s="292"/>
      <c r="G72" s="292"/>
    </row>
    <row r="73" spans="1:7" ht="15.75">
      <c r="A73" s="36">
        <v>23</v>
      </c>
      <c r="B73" s="36"/>
      <c r="C73" s="37" t="s">
        <v>73</v>
      </c>
      <c r="D73" s="188">
        <v>23</v>
      </c>
      <c r="F73" s="292"/>
      <c r="G73" s="292"/>
    </row>
    <row r="74" spans="1:7" ht="15.75">
      <c r="A74" s="29">
        <v>24</v>
      </c>
      <c r="B74" s="29"/>
      <c r="C74" s="30" t="s">
        <v>28</v>
      </c>
      <c r="D74" s="137">
        <v>417</v>
      </c>
      <c r="F74" s="292"/>
      <c r="G74" s="292"/>
    </row>
    <row r="75" spans="1:7" ht="15.75">
      <c r="A75" s="29">
        <v>30</v>
      </c>
      <c r="B75" s="29"/>
      <c r="C75" s="30" t="s">
        <v>70</v>
      </c>
      <c r="D75" s="137">
        <v>36</v>
      </c>
      <c r="F75" s="292"/>
      <c r="G75" s="292"/>
    </row>
    <row r="76" spans="1:7" ht="15.75">
      <c r="A76" s="29">
        <v>34</v>
      </c>
      <c r="B76" s="29"/>
      <c r="C76" s="30" t="s">
        <v>31</v>
      </c>
      <c r="D76" s="137">
        <v>119</v>
      </c>
      <c r="F76" s="292"/>
      <c r="G76" s="292"/>
    </row>
    <row r="77" spans="1:7" ht="15.75">
      <c r="A77" s="29">
        <v>38</v>
      </c>
      <c r="B77" s="29"/>
      <c r="C77" s="30" t="s">
        <v>37</v>
      </c>
      <c r="D77" s="137">
        <v>42</v>
      </c>
      <c r="F77" s="292"/>
      <c r="G77" s="292"/>
    </row>
    <row r="78" spans="1:7" ht="15.75">
      <c r="A78" s="29">
        <v>63</v>
      </c>
      <c r="B78" s="29"/>
      <c r="C78" s="30" t="s">
        <v>20</v>
      </c>
      <c r="D78" s="137">
        <v>28</v>
      </c>
      <c r="F78" s="292"/>
      <c r="G78" s="292"/>
    </row>
    <row r="79" spans="1:7" ht="15.75">
      <c r="A79" s="29">
        <v>39</v>
      </c>
      <c r="B79" s="29"/>
      <c r="C79" s="30" t="s">
        <v>30</v>
      </c>
      <c r="D79" s="137">
        <v>130</v>
      </c>
      <c r="F79" s="292"/>
      <c r="G79" s="292"/>
    </row>
    <row r="80" spans="1:7" ht="15.75">
      <c r="A80" s="29">
        <v>55</v>
      </c>
      <c r="B80" s="29"/>
      <c r="C80" s="30" t="s">
        <v>24</v>
      </c>
      <c r="D80" s="137">
        <v>398</v>
      </c>
      <c r="E80" s="125"/>
      <c r="F80" s="292"/>
      <c r="G80" s="292"/>
    </row>
    <row r="81" spans="1:7" ht="15.75">
      <c r="A81" s="29">
        <v>74</v>
      </c>
      <c r="B81" s="29"/>
      <c r="C81" s="30" t="s">
        <v>66</v>
      </c>
      <c r="D81" s="137">
        <v>64</v>
      </c>
      <c r="F81" s="292"/>
      <c r="G81" s="292"/>
    </row>
    <row r="82" spans="1:7" ht="16.5" thickBot="1">
      <c r="A82" s="29">
        <v>82</v>
      </c>
      <c r="B82" s="29"/>
      <c r="C82" s="30" t="s">
        <v>67</v>
      </c>
      <c r="D82" s="137">
        <v>3</v>
      </c>
      <c r="F82" s="292"/>
      <c r="G82" s="292"/>
    </row>
    <row r="83" spans="1:8" ht="17.25" thickBot="1" thickTop="1">
      <c r="A83" s="31"/>
      <c r="B83" s="31"/>
      <c r="C83" s="32" t="s">
        <v>7</v>
      </c>
      <c r="D83" s="138">
        <f>SUM(D70:D82)</f>
        <v>1448</v>
      </c>
      <c r="E83" s="127"/>
      <c r="F83" s="128"/>
      <c r="G83" s="128"/>
      <c r="H83" s="127"/>
    </row>
    <row r="84" spans="1:7" ht="17.25" customHeight="1" thickBot="1" thickTop="1">
      <c r="A84" s="745" t="s">
        <v>501</v>
      </c>
      <c r="B84" s="745"/>
      <c r="C84" s="745"/>
      <c r="D84" s="745"/>
      <c r="F84" s="292"/>
      <c r="G84" s="292"/>
    </row>
    <row r="85" spans="1:7" ht="16.5" thickTop="1">
      <c r="A85" s="33">
        <v>3</v>
      </c>
      <c r="B85" s="33"/>
      <c r="C85" s="34" t="s">
        <v>82</v>
      </c>
      <c r="D85" s="284">
        <v>104</v>
      </c>
      <c r="F85" s="292"/>
      <c r="G85" s="128"/>
    </row>
    <row r="86" spans="1:7" s="134" customFormat="1" ht="15.75">
      <c r="A86" s="35">
        <v>6</v>
      </c>
      <c r="B86" s="35"/>
      <c r="C86" s="30" t="s">
        <v>226</v>
      </c>
      <c r="D86" s="283">
        <v>1432</v>
      </c>
      <c r="E86" s="122"/>
      <c r="F86" s="293"/>
      <c r="G86" s="294"/>
    </row>
    <row r="87" spans="1:7" ht="15.75">
      <c r="A87" s="29">
        <v>4</v>
      </c>
      <c r="B87" s="29"/>
      <c r="C87" s="30" t="s">
        <v>224</v>
      </c>
      <c r="D87" s="283">
        <v>1104</v>
      </c>
      <c r="F87" s="292"/>
      <c r="G87" s="128"/>
    </row>
    <row r="88" spans="1:7" ht="15.75">
      <c r="A88" s="36">
        <v>5</v>
      </c>
      <c r="B88" s="36"/>
      <c r="C88" s="37" t="s">
        <v>225</v>
      </c>
      <c r="D88" s="282">
        <v>854</v>
      </c>
      <c r="F88" s="292"/>
      <c r="G88" s="128"/>
    </row>
    <row r="89" spans="1:7" ht="15.75">
      <c r="A89" s="36">
        <v>39</v>
      </c>
      <c r="B89" s="36"/>
      <c r="C89" s="37" t="s">
        <v>30</v>
      </c>
      <c r="D89" s="282">
        <v>295</v>
      </c>
      <c r="F89" s="292"/>
      <c r="G89" s="128"/>
    </row>
    <row r="90" spans="1:7" ht="15.75">
      <c r="A90" s="29">
        <v>22</v>
      </c>
      <c r="B90" s="29"/>
      <c r="C90" s="30" t="s">
        <v>34</v>
      </c>
      <c r="D90" s="137">
        <v>61</v>
      </c>
      <c r="F90" s="292"/>
      <c r="G90" s="128"/>
    </row>
    <row r="91" spans="1:7" ht="15.75">
      <c r="A91" s="29">
        <v>19</v>
      </c>
      <c r="B91" s="29"/>
      <c r="C91" s="30" t="s">
        <v>72</v>
      </c>
      <c r="D91" s="137">
        <v>14</v>
      </c>
      <c r="F91" s="292"/>
      <c r="G91" s="128"/>
    </row>
    <row r="92" spans="1:7" ht="15.75">
      <c r="A92" s="36">
        <v>21</v>
      </c>
      <c r="B92" s="36"/>
      <c r="C92" s="37" t="s">
        <v>227</v>
      </c>
      <c r="D92" s="137">
        <v>46</v>
      </c>
      <c r="F92" s="292"/>
      <c r="G92" s="128"/>
    </row>
    <row r="93" spans="1:7" ht="15.75">
      <c r="A93" s="36">
        <v>23</v>
      </c>
      <c r="B93" s="36"/>
      <c r="C93" s="37" t="s">
        <v>73</v>
      </c>
      <c r="D93" s="137">
        <v>20</v>
      </c>
      <c r="F93" s="292"/>
      <c r="G93" s="128"/>
    </row>
    <row r="94" spans="1:7" ht="15.75">
      <c r="A94" s="29">
        <v>24</v>
      </c>
      <c r="B94" s="29"/>
      <c r="C94" s="30" t="s">
        <v>28</v>
      </c>
      <c r="D94" s="137">
        <v>503</v>
      </c>
      <c r="F94" s="292"/>
      <c r="G94" s="128"/>
    </row>
    <row r="95" spans="1:7" ht="15.75">
      <c r="A95" s="29">
        <v>30</v>
      </c>
      <c r="B95" s="29"/>
      <c r="C95" s="30" t="s">
        <v>70</v>
      </c>
      <c r="D95" s="137">
        <v>43</v>
      </c>
      <c r="F95" s="292"/>
      <c r="G95" s="128"/>
    </row>
    <row r="96" spans="1:7" ht="15.75">
      <c r="A96" s="29">
        <v>34</v>
      </c>
      <c r="B96" s="29"/>
      <c r="C96" s="30" t="s">
        <v>31</v>
      </c>
      <c r="D96" s="137">
        <v>61</v>
      </c>
      <c r="F96" s="292"/>
      <c r="G96" s="128"/>
    </row>
    <row r="97" spans="1:7" ht="15.75">
      <c r="A97" s="29">
        <v>38</v>
      </c>
      <c r="B97" s="29"/>
      <c r="C97" s="30" t="s">
        <v>37</v>
      </c>
      <c r="D97" s="137">
        <v>38</v>
      </c>
      <c r="F97" s="292"/>
      <c r="G97" s="128"/>
    </row>
    <row r="98" spans="1:7" ht="15.75">
      <c r="A98" s="29">
        <v>63</v>
      </c>
      <c r="B98" s="29"/>
      <c r="C98" s="30" t="s">
        <v>20</v>
      </c>
      <c r="D98" s="137">
        <v>26</v>
      </c>
      <c r="F98" s="292"/>
      <c r="G98" s="128"/>
    </row>
    <row r="99" spans="1:7" ht="15.75">
      <c r="A99" s="29">
        <v>55</v>
      </c>
      <c r="B99" s="29"/>
      <c r="C99" s="30" t="s">
        <v>24</v>
      </c>
      <c r="D99" s="137">
        <v>217</v>
      </c>
      <c r="F99" s="292"/>
      <c r="G99" s="128"/>
    </row>
    <row r="100" spans="1:7" ht="15.75">
      <c r="A100" s="29">
        <v>74</v>
      </c>
      <c r="B100" s="29"/>
      <c r="C100" s="30" t="s">
        <v>66</v>
      </c>
      <c r="D100" s="137">
        <v>46</v>
      </c>
      <c r="F100" s="292"/>
      <c r="G100" s="128"/>
    </row>
    <row r="101" spans="1:7" ht="15.75">
      <c r="A101" s="29">
        <v>82</v>
      </c>
      <c r="B101" s="29"/>
      <c r="C101" s="30" t="s">
        <v>67</v>
      </c>
      <c r="D101" s="137">
        <v>17</v>
      </c>
      <c r="F101" s="292"/>
      <c r="G101" s="128"/>
    </row>
    <row r="102" spans="1:8" ht="16.5" thickBot="1">
      <c r="A102" s="39"/>
      <c r="B102" s="39"/>
      <c r="C102" s="40" t="s">
        <v>7</v>
      </c>
      <c r="D102" s="141">
        <f>SUM(D85:D101)</f>
        <v>4881</v>
      </c>
      <c r="E102" s="127"/>
      <c r="F102" s="128"/>
      <c r="G102" s="128"/>
      <c r="H102" s="127"/>
    </row>
    <row r="103" spans="2:7" ht="17.25" hidden="1" thickBot="1" thickTop="1">
      <c r="B103" s="744"/>
      <c r="C103" s="745"/>
      <c r="D103" s="745"/>
      <c r="F103" s="292"/>
      <c r="G103" s="292"/>
    </row>
    <row r="104" spans="1:7" ht="17.25" hidden="1" thickBot="1" thickTop="1">
      <c r="A104" s="41"/>
      <c r="B104" s="41"/>
      <c r="C104" s="42"/>
      <c r="D104" s="142"/>
      <c r="F104" s="292"/>
      <c r="G104" s="292"/>
    </row>
    <row r="105" spans="1:8" ht="17.25" hidden="1" thickBot="1" thickTop="1">
      <c r="A105" s="39"/>
      <c r="B105" s="39"/>
      <c r="C105" s="40"/>
      <c r="D105" s="141"/>
      <c r="F105" s="128"/>
      <c r="G105" s="128"/>
      <c r="H105" s="127"/>
    </row>
    <row r="106" spans="2:7" ht="17.25" hidden="1" thickBot="1" thickTop="1">
      <c r="B106" s="744"/>
      <c r="C106" s="745"/>
      <c r="D106" s="745"/>
      <c r="F106" s="292"/>
      <c r="G106" s="292"/>
    </row>
    <row r="107" spans="1:7" ht="17.25" hidden="1" thickBot="1" thickTop="1">
      <c r="A107" s="33"/>
      <c r="B107" s="33"/>
      <c r="C107" s="48"/>
      <c r="D107" s="24"/>
      <c r="F107" s="292"/>
      <c r="G107" s="292"/>
    </row>
    <row r="108" spans="1:7" ht="17.25" hidden="1" thickBot="1" thickTop="1">
      <c r="A108" s="36"/>
      <c r="B108" s="36"/>
      <c r="C108" s="49"/>
      <c r="D108" s="282"/>
      <c r="F108" s="66"/>
      <c r="G108" s="292"/>
    </row>
    <row r="109" spans="1:7" ht="17.25" hidden="1" thickBot="1" thickTop="1">
      <c r="A109" s="36"/>
      <c r="B109" s="36"/>
      <c r="C109" s="49"/>
      <c r="D109" s="13"/>
      <c r="F109" s="66"/>
      <c r="G109" s="292"/>
    </row>
    <row r="110" spans="1:7" s="134" customFormat="1" ht="17.25" hidden="1" thickBot="1" thickTop="1">
      <c r="A110" s="50"/>
      <c r="B110" s="50"/>
      <c r="C110" s="49"/>
      <c r="D110" s="282"/>
      <c r="E110" s="122"/>
      <c r="F110" s="135"/>
      <c r="G110" s="135"/>
    </row>
    <row r="111" spans="1:7" ht="17.25" hidden="1" thickBot="1" thickTop="1">
      <c r="A111" s="36"/>
      <c r="B111" s="36"/>
      <c r="C111" s="49"/>
      <c r="D111" s="13"/>
      <c r="F111" s="292"/>
      <c r="G111" s="292"/>
    </row>
    <row r="112" spans="1:7" ht="17.25" hidden="1" thickBot="1" thickTop="1">
      <c r="A112" s="36"/>
      <c r="B112" s="36"/>
      <c r="C112" s="49"/>
      <c r="D112" s="13"/>
      <c r="E112" s="125"/>
      <c r="F112" s="292"/>
      <c r="G112" s="292"/>
    </row>
    <row r="113" spans="1:7" ht="17.25" hidden="1" thickBot="1" thickTop="1">
      <c r="A113" s="38"/>
      <c r="B113" s="38"/>
      <c r="C113" s="51"/>
      <c r="D113" s="59"/>
      <c r="F113" s="292"/>
      <c r="G113" s="292"/>
    </row>
    <row r="114" spans="1:8" ht="17.25" hidden="1" thickBot="1" thickTop="1">
      <c r="A114" s="39"/>
      <c r="B114" s="39"/>
      <c r="C114" s="52"/>
      <c r="D114" s="143"/>
      <c r="F114" s="128"/>
      <c r="G114" s="128"/>
      <c r="H114" s="127"/>
    </row>
    <row r="115" spans="2:7" ht="17.25" hidden="1" thickBot="1" thickTop="1">
      <c r="B115" s="744"/>
      <c r="C115" s="745"/>
      <c r="D115" s="745"/>
      <c r="F115" s="292"/>
      <c r="G115" s="292"/>
    </row>
    <row r="116" spans="1:7" ht="17.25" hidden="1" thickBot="1" thickTop="1">
      <c r="A116" s="29"/>
      <c r="B116" s="29"/>
      <c r="C116" s="30"/>
      <c r="D116" s="283"/>
      <c r="F116" s="292"/>
      <c r="G116" s="292"/>
    </row>
    <row r="117" spans="1:7" ht="17.25" hidden="1" thickBot="1" thickTop="1">
      <c r="A117" s="36"/>
      <c r="B117" s="36"/>
      <c r="C117" s="37"/>
      <c r="D117" s="13"/>
      <c r="F117" s="292"/>
      <c r="G117" s="292"/>
    </row>
    <row r="118" spans="1:7" s="134" customFormat="1" ht="17.25" hidden="1" thickBot="1" thickTop="1">
      <c r="A118" s="50"/>
      <c r="B118" s="50"/>
      <c r="C118" s="37"/>
      <c r="D118" s="282"/>
      <c r="E118" s="122"/>
      <c r="F118" s="66"/>
      <c r="G118" s="135"/>
    </row>
    <row r="119" spans="1:7" ht="17.25" hidden="1" thickBot="1" thickTop="1">
      <c r="A119" s="36"/>
      <c r="B119" s="36"/>
      <c r="C119" s="37"/>
      <c r="D119" s="282"/>
      <c r="F119" s="66"/>
      <c r="G119" s="135"/>
    </row>
    <row r="120" spans="1:7" ht="17.25" hidden="1" thickBot="1" thickTop="1">
      <c r="A120" s="36"/>
      <c r="B120" s="36"/>
      <c r="C120" s="37"/>
      <c r="D120" s="282"/>
      <c r="F120" s="292"/>
      <c r="G120" s="292"/>
    </row>
    <row r="121" spans="1:7" ht="17.25" hidden="1" thickBot="1" thickTop="1">
      <c r="A121" s="36"/>
      <c r="B121" s="36"/>
      <c r="C121" s="37"/>
      <c r="D121" s="13"/>
      <c r="F121" s="292"/>
      <c r="G121" s="292"/>
    </row>
    <row r="122" spans="1:7" ht="17.25" hidden="1" thickBot="1" thickTop="1">
      <c r="A122" s="29"/>
      <c r="B122" s="29"/>
      <c r="C122" s="30"/>
      <c r="D122" s="15"/>
      <c r="F122" s="292"/>
      <c r="G122" s="292"/>
    </row>
    <row r="123" spans="1:7" ht="17.25" hidden="1" thickBot="1" thickTop="1">
      <c r="A123" s="53"/>
      <c r="B123" s="53"/>
      <c r="C123" s="37"/>
      <c r="D123" s="13"/>
      <c r="F123" s="292"/>
      <c r="G123" s="292"/>
    </row>
    <row r="124" spans="1:7" ht="17.25" hidden="1" thickBot="1" thickTop="1">
      <c r="A124" s="54"/>
      <c r="B124" s="54"/>
      <c r="C124" s="46"/>
      <c r="D124" s="20"/>
      <c r="F124" s="292"/>
      <c r="G124" s="292"/>
    </row>
    <row r="125" spans="1:8" ht="17.25" hidden="1" thickBot="1" thickTop="1">
      <c r="A125" s="31"/>
      <c r="B125" s="31"/>
      <c r="C125" s="32"/>
      <c r="D125" s="136"/>
      <c r="F125" s="128"/>
      <c r="G125" s="128"/>
      <c r="H125" s="127"/>
    </row>
    <row r="126" spans="2:7" ht="17.25" hidden="1" thickBot="1" thickTop="1">
      <c r="B126" s="744"/>
      <c r="C126" s="745"/>
      <c r="D126" s="745"/>
      <c r="F126" s="292"/>
      <c r="G126" s="292"/>
    </row>
    <row r="127" spans="1:7" ht="17.25" hidden="1" thickBot="1" thickTop="1">
      <c r="A127" s="33"/>
      <c r="B127" s="33"/>
      <c r="C127" s="48"/>
      <c r="D127" s="284"/>
      <c r="F127" s="292"/>
      <c r="G127" s="292"/>
    </row>
    <row r="128" spans="1:7" ht="17.25" hidden="1" thickBot="1" thickTop="1">
      <c r="A128" s="36"/>
      <c r="B128" s="36"/>
      <c r="C128" s="49"/>
      <c r="D128" s="13"/>
      <c r="F128" s="292"/>
      <c r="G128" s="292"/>
    </row>
    <row r="129" spans="1:7" ht="17.25" hidden="1" thickBot="1" thickTop="1">
      <c r="A129" s="36"/>
      <c r="B129" s="36"/>
      <c r="C129" s="49"/>
      <c r="D129" s="282"/>
      <c r="F129" s="66"/>
      <c r="G129" s="135"/>
    </row>
    <row r="130" spans="1:7" ht="17.25" hidden="1" thickBot="1" thickTop="1">
      <c r="A130" s="36"/>
      <c r="B130" s="36"/>
      <c r="C130" s="49"/>
      <c r="D130" s="282"/>
      <c r="F130" s="66"/>
      <c r="G130" s="135"/>
    </row>
    <row r="131" spans="1:7" ht="17.25" hidden="1" thickBot="1" thickTop="1">
      <c r="A131" s="36"/>
      <c r="B131" s="36"/>
      <c r="C131" s="49"/>
      <c r="D131" s="13"/>
      <c r="F131" s="292"/>
      <c r="G131" s="292"/>
    </row>
    <row r="132" spans="1:7" ht="17.25" hidden="1" thickBot="1" thickTop="1">
      <c r="A132" s="36"/>
      <c r="B132" s="36"/>
      <c r="C132" s="49"/>
      <c r="D132" s="13"/>
      <c r="F132" s="292"/>
      <c r="G132" s="292"/>
    </row>
    <row r="133" spans="1:7" ht="17.25" hidden="1" thickBot="1" thickTop="1">
      <c r="A133" s="44"/>
      <c r="B133" s="44"/>
      <c r="C133" s="37"/>
      <c r="D133" s="20"/>
      <c r="F133" s="292"/>
      <c r="G133" s="292"/>
    </row>
    <row r="134" spans="1:7" ht="17.25" hidden="1" thickBot="1" thickTop="1">
      <c r="A134" s="44"/>
      <c r="B134" s="44"/>
      <c r="C134" s="55"/>
      <c r="D134" s="20"/>
      <c r="F134" s="292"/>
      <c r="G134" s="292"/>
    </row>
    <row r="135" spans="1:8" ht="17.25" hidden="1" thickBot="1" thickTop="1">
      <c r="A135" s="31"/>
      <c r="B135" s="31"/>
      <c r="C135" s="28"/>
      <c r="D135" s="136"/>
      <c r="F135" s="128"/>
      <c r="G135" s="292"/>
      <c r="H135" s="127"/>
    </row>
    <row r="136" spans="2:7" ht="17.25" customHeight="1" hidden="1" thickBot="1" thickTop="1">
      <c r="B136" s="744"/>
      <c r="C136" s="745"/>
      <c r="D136" s="745"/>
      <c r="F136" s="292"/>
      <c r="G136" s="292"/>
    </row>
    <row r="137" spans="1:7" ht="17.25" hidden="1" thickBot="1" thickTop="1">
      <c r="A137" s="21"/>
      <c r="B137" s="21"/>
      <c r="C137" s="34"/>
      <c r="D137" s="284"/>
      <c r="F137" s="292"/>
      <c r="G137" s="292"/>
    </row>
    <row r="138" spans="1:7" ht="17.25" hidden="1" thickBot="1" thickTop="1">
      <c r="A138" s="53"/>
      <c r="B138" s="53"/>
      <c r="C138" s="37"/>
      <c r="D138" s="13"/>
      <c r="F138" s="292"/>
      <c r="G138" s="292"/>
    </row>
    <row r="139" spans="1:7" ht="17.25" hidden="1" thickBot="1" thickTop="1">
      <c r="A139" s="53"/>
      <c r="B139" s="53"/>
      <c r="C139" s="37"/>
      <c r="D139" s="282"/>
      <c r="F139" s="66"/>
      <c r="G139" s="135"/>
    </row>
    <row r="140" spans="1:7" ht="17.25" hidden="1" thickBot="1" thickTop="1">
      <c r="A140" s="36"/>
      <c r="B140" s="36"/>
      <c r="C140" s="37"/>
      <c r="D140" s="282"/>
      <c r="F140" s="66"/>
      <c r="G140" s="135"/>
    </row>
    <row r="141" spans="1:7" ht="17.25" hidden="1" thickBot="1" thickTop="1">
      <c r="A141" s="36"/>
      <c r="B141" s="36"/>
      <c r="C141" s="49"/>
      <c r="D141" s="282"/>
      <c r="F141" s="292"/>
      <c r="G141" s="292"/>
    </row>
    <row r="142" spans="1:7" ht="17.25" hidden="1" thickBot="1" thickTop="1">
      <c r="A142" s="36"/>
      <c r="B142" s="36"/>
      <c r="C142" s="37"/>
      <c r="D142" s="13"/>
      <c r="F142" s="292"/>
      <c r="G142" s="292"/>
    </row>
    <row r="143" spans="1:7" ht="17.25" hidden="1" thickBot="1" thickTop="1">
      <c r="A143" s="36"/>
      <c r="B143" s="36"/>
      <c r="C143" s="37"/>
      <c r="D143" s="13"/>
      <c r="F143" s="292"/>
      <c r="G143" s="292"/>
    </row>
    <row r="144" spans="1:7" ht="17.25" hidden="1" thickBot="1" thickTop="1">
      <c r="A144" s="54"/>
      <c r="B144" s="54"/>
      <c r="C144" s="46"/>
      <c r="D144" s="20"/>
      <c r="F144" s="292"/>
      <c r="G144" s="292"/>
    </row>
    <row r="145" spans="1:12" ht="17.25" hidden="1" thickBot="1" thickTop="1">
      <c r="A145" s="31"/>
      <c r="B145" s="31"/>
      <c r="C145" s="32"/>
      <c r="D145" s="136"/>
      <c r="F145" s="128"/>
      <c r="G145" s="292"/>
      <c r="H145" s="127"/>
      <c r="K145" s="127"/>
      <c r="L145" s="127"/>
    </row>
    <row r="146" spans="2:7" ht="17.25" hidden="1" thickBot="1" thickTop="1">
      <c r="B146" s="744"/>
      <c r="C146" s="745"/>
      <c r="D146" s="745"/>
      <c r="F146" s="292"/>
      <c r="G146" s="292"/>
    </row>
    <row r="147" spans="1:11" ht="17.25" hidden="1" thickBot="1" thickTop="1">
      <c r="A147" s="36"/>
      <c r="B147" s="36"/>
      <c r="C147" s="49"/>
      <c r="D147" s="13"/>
      <c r="F147" s="128"/>
      <c r="G147" s="128"/>
      <c r="H147" s="127"/>
      <c r="I147" s="127"/>
      <c r="J147" s="127"/>
      <c r="K147" s="127"/>
    </row>
    <row r="148" spans="1:7" ht="17.25" hidden="1" thickBot="1" thickTop="1">
      <c r="A148" s="36"/>
      <c r="B148" s="36"/>
      <c r="C148" s="49"/>
      <c r="D148" s="13"/>
      <c r="F148" s="292"/>
      <c r="G148" s="292"/>
    </row>
    <row r="149" spans="1:7" ht="17.25" hidden="1" thickBot="1" thickTop="1">
      <c r="A149" s="36"/>
      <c r="B149" s="36"/>
      <c r="C149" s="49"/>
      <c r="D149" s="282"/>
      <c r="F149" s="292"/>
      <c r="G149" s="292"/>
    </row>
    <row r="150" spans="1:10" ht="17.25" hidden="1" thickBot="1" thickTop="1">
      <c r="A150" s="36"/>
      <c r="B150" s="36"/>
      <c r="C150" s="49"/>
      <c r="D150" s="13"/>
      <c r="F150" s="292"/>
      <c r="G150" s="292"/>
      <c r="I150" s="127"/>
      <c r="J150" s="127"/>
    </row>
    <row r="151" spans="1:10" ht="17.25" hidden="1" thickBot="1" thickTop="1">
      <c r="A151" s="36"/>
      <c r="B151" s="36"/>
      <c r="C151" s="49"/>
      <c r="D151" s="13"/>
      <c r="F151" s="292"/>
      <c r="G151" s="292"/>
      <c r="I151" s="127"/>
      <c r="J151" s="127"/>
    </row>
    <row r="152" spans="1:7" ht="17.25" hidden="1" thickBot="1" thickTop="1">
      <c r="A152" s="36"/>
      <c r="B152" s="36"/>
      <c r="C152" s="49"/>
      <c r="D152" s="13"/>
      <c r="F152" s="292"/>
      <c r="G152" s="292"/>
    </row>
    <row r="153" spans="1:7" ht="17.25" hidden="1" thickBot="1" thickTop="1">
      <c r="A153" s="29"/>
      <c r="B153" s="29"/>
      <c r="C153" s="56"/>
      <c r="D153" s="15"/>
      <c r="F153" s="292"/>
      <c r="G153" s="292"/>
    </row>
    <row r="154" spans="1:7" ht="17.25" hidden="1" thickBot="1" thickTop="1">
      <c r="A154" s="36"/>
      <c r="B154" s="36"/>
      <c r="C154" s="49"/>
      <c r="D154" s="13"/>
      <c r="F154" s="292"/>
      <c r="G154" s="292"/>
    </row>
    <row r="155" spans="1:10" ht="17.25" hidden="1" thickBot="1" thickTop="1">
      <c r="A155" s="38"/>
      <c r="B155" s="38"/>
      <c r="C155" s="51"/>
      <c r="D155" s="59"/>
      <c r="F155" s="128"/>
      <c r="G155" s="292"/>
      <c r="J155" s="127"/>
    </row>
    <row r="156" spans="1:10" ht="17.25" hidden="1" thickBot="1" thickTop="1">
      <c r="A156" s="39"/>
      <c r="B156" s="39"/>
      <c r="C156" s="52"/>
      <c r="D156" s="141"/>
      <c r="F156" s="128"/>
      <c r="G156" s="128"/>
      <c r="H156" s="127"/>
      <c r="I156" s="127"/>
      <c r="J156" s="127"/>
    </row>
    <row r="157" spans="2:7" ht="17.25" hidden="1" thickBot="1" thickTop="1">
      <c r="B157" s="744"/>
      <c r="C157" s="745"/>
      <c r="D157" s="745"/>
      <c r="F157" s="292"/>
      <c r="G157" s="292"/>
    </row>
    <row r="158" spans="1:7" ht="17.25" hidden="1" thickBot="1" thickTop="1">
      <c r="A158" s="33"/>
      <c r="B158" s="33"/>
      <c r="C158" s="34"/>
      <c r="D158" s="333"/>
      <c r="F158" s="292"/>
      <c r="G158" s="292"/>
    </row>
    <row r="159" spans="1:7" ht="17.25" hidden="1" thickBot="1" thickTop="1">
      <c r="A159" s="29"/>
      <c r="B159" s="29"/>
      <c r="C159" s="30"/>
      <c r="D159" s="334"/>
      <c r="F159" s="292"/>
      <c r="G159" s="292"/>
    </row>
    <row r="160" spans="1:7" ht="17.25" hidden="1" thickBot="1" thickTop="1">
      <c r="A160" s="36"/>
      <c r="B160" s="36"/>
      <c r="C160" s="37"/>
      <c r="D160" s="332"/>
      <c r="F160" s="292"/>
      <c r="G160" s="292"/>
    </row>
    <row r="161" spans="1:7" ht="17.25" hidden="1" thickBot="1" thickTop="1">
      <c r="A161" s="36"/>
      <c r="B161" s="36"/>
      <c r="C161" s="30"/>
      <c r="D161" s="332"/>
      <c r="F161" s="292"/>
      <c r="G161" s="292"/>
    </row>
    <row r="162" spans="1:7" ht="17.25" hidden="1" thickBot="1" thickTop="1">
      <c r="A162" s="36"/>
      <c r="B162" s="36"/>
      <c r="C162" s="37"/>
      <c r="D162" s="332"/>
      <c r="F162" s="292"/>
      <c r="G162" s="292"/>
    </row>
    <row r="163" spans="1:7" ht="17.25" hidden="1" thickBot="1" thickTop="1">
      <c r="A163" s="36"/>
      <c r="B163" s="36"/>
      <c r="C163" s="37"/>
      <c r="D163" s="332"/>
      <c r="F163" s="292"/>
      <c r="G163" s="292"/>
    </row>
    <row r="164" spans="1:7" ht="17.25" hidden="1" thickBot="1" thickTop="1">
      <c r="A164" s="36"/>
      <c r="B164" s="36"/>
      <c r="C164" s="37"/>
      <c r="D164" s="144"/>
      <c r="F164" s="292"/>
      <c r="G164" s="292"/>
    </row>
    <row r="165" spans="1:7" ht="17.25" hidden="1" thickBot="1" thickTop="1">
      <c r="A165" s="36"/>
      <c r="B165" s="36"/>
      <c r="C165" s="37"/>
      <c r="D165" s="123"/>
      <c r="F165" s="292"/>
      <c r="G165" s="292"/>
    </row>
    <row r="166" spans="1:7" ht="17.25" hidden="1" thickBot="1" thickTop="1">
      <c r="A166" s="50"/>
      <c r="B166" s="50"/>
      <c r="C166" s="49"/>
      <c r="D166" s="332"/>
      <c r="F166" s="292"/>
      <c r="G166" s="292"/>
    </row>
    <row r="167" spans="1:7" ht="17.25" hidden="1" thickBot="1" thickTop="1">
      <c r="A167" s="36"/>
      <c r="B167" s="36"/>
      <c r="C167" s="37"/>
      <c r="D167" s="123"/>
      <c r="F167" s="292"/>
      <c r="G167" s="292"/>
    </row>
    <row r="168" spans="1:7" ht="17.25" hidden="1" thickBot="1" thickTop="1">
      <c r="A168" s="36"/>
      <c r="B168" s="36"/>
      <c r="C168" s="37"/>
      <c r="D168" s="123"/>
      <c r="F168" s="292"/>
      <c r="G168" s="292"/>
    </row>
    <row r="169" spans="1:7" ht="17.25" hidden="1" thickBot="1" thickTop="1">
      <c r="A169" s="44"/>
      <c r="B169" s="44"/>
      <c r="C169" s="46"/>
      <c r="D169" s="144"/>
      <c r="F169" s="292"/>
      <c r="G169" s="292"/>
    </row>
    <row r="170" spans="1:12" ht="17.25" hidden="1" thickBot="1" thickTop="1">
      <c r="A170" s="31"/>
      <c r="B170" s="31"/>
      <c r="C170" s="32"/>
      <c r="D170" s="145"/>
      <c r="F170" s="128"/>
      <c r="G170" s="128"/>
      <c r="H170" s="127"/>
      <c r="K170" s="127"/>
      <c r="L170" s="127"/>
    </row>
    <row r="171" spans="2:7" ht="17.25" hidden="1" thickBot="1" thickTop="1">
      <c r="B171" s="744"/>
      <c r="C171" s="745"/>
      <c r="D171" s="745"/>
      <c r="F171" s="292"/>
      <c r="G171" s="292"/>
    </row>
    <row r="172" spans="1:7" ht="17.25" hidden="1" thickBot="1" thickTop="1">
      <c r="A172" s="36"/>
      <c r="B172" s="36"/>
      <c r="C172" s="49"/>
      <c r="D172" s="13"/>
      <c r="F172" s="292"/>
      <c r="G172" s="292"/>
    </row>
    <row r="173" spans="1:7" ht="17.25" hidden="1" thickBot="1" thickTop="1">
      <c r="A173" s="36"/>
      <c r="B173" s="36"/>
      <c r="C173" s="49"/>
      <c r="D173" s="282"/>
      <c r="F173" s="292"/>
      <c r="G173" s="292"/>
    </row>
    <row r="174" spans="1:7" ht="17.25" hidden="1" thickBot="1" thickTop="1">
      <c r="A174" s="36"/>
      <c r="B174" s="36"/>
      <c r="C174" s="49"/>
      <c r="D174" s="282"/>
      <c r="F174" s="292"/>
      <c r="G174" s="292"/>
    </row>
    <row r="175" spans="1:7" ht="17.25" hidden="1" thickBot="1" thickTop="1">
      <c r="A175" s="36"/>
      <c r="B175" s="36"/>
      <c r="C175" s="49"/>
      <c r="D175" s="282"/>
      <c r="F175" s="292"/>
      <c r="G175" s="292"/>
    </row>
    <row r="176" spans="1:7" ht="17.25" hidden="1" thickBot="1" thickTop="1">
      <c r="A176" s="36"/>
      <c r="B176" s="36"/>
      <c r="C176" s="49"/>
      <c r="D176" s="282"/>
      <c r="F176" s="292"/>
      <c r="G176" s="292"/>
    </row>
    <row r="177" spans="1:4" ht="17.25" hidden="1" thickBot="1" thickTop="1">
      <c r="A177" s="29"/>
      <c r="B177" s="29"/>
      <c r="C177" s="56"/>
      <c r="D177" s="15"/>
    </row>
    <row r="178" spans="1:4" ht="17.25" hidden="1" thickBot="1" thickTop="1">
      <c r="A178" s="44"/>
      <c r="B178" s="44"/>
      <c r="C178" s="49"/>
      <c r="D178" s="20"/>
    </row>
    <row r="179" spans="1:4" ht="17.25" hidden="1" thickBot="1" thickTop="1">
      <c r="A179" s="36"/>
      <c r="B179" s="36"/>
      <c r="C179" s="49"/>
      <c r="D179" s="13"/>
    </row>
    <row r="180" spans="1:4" ht="17.25" hidden="1" thickBot="1" thickTop="1">
      <c r="A180" s="59"/>
      <c r="B180" s="59"/>
      <c r="C180" s="60"/>
      <c r="D180" s="59"/>
    </row>
    <row r="181" spans="1:12" ht="17.25" hidden="1" thickBot="1" thickTop="1">
      <c r="A181" s="31"/>
      <c r="B181" s="31"/>
      <c r="C181" s="28"/>
      <c r="D181" s="136"/>
      <c r="F181" s="127"/>
      <c r="G181" s="127"/>
      <c r="H181" s="127"/>
      <c r="K181" s="127"/>
      <c r="L181" s="127"/>
    </row>
    <row r="182" spans="2:12" ht="17.25" hidden="1" thickBot="1" thickTop="1">
      <c r="B182" s="744"/>
      <c r="C182" s="745"/>
      <c r="D182" s="745"/>
      <c r="F182" s="127"/>
      <c r="G182" s="127"/>
      <c r="H182" s="127"/>
      <c r="K182" s="127"/>
      <c r="L182" s="127"/>
    </row>
    <row r="183" spans="1:12" ht="17.25" hidden="1" thickBot="1" thickTop="1">
      <c r="A183" s="36"/>
      <c r="B183" s="36"/>
      <c r="C183" s="49"/>
      <c r="D183" s="282"/>
      <c r="F183" s="127"/>
      <c r="G183" s="127"/>
      <c r="H183" s="127"/>
      <c r="K183" s="127"/>
      <c r="L183" s="127"/>
    </row>
    <row r="184" spans="1:12" ht="17.25" hidden="1" thickBot="1" thickTop="1">
      <c r="A184" s="36"/>
      <c r="B184" s="36"/>
      <c r="C184" s="49"/>
      <c r="D184" s="13"/>
      <c r="F184" s="127"/>
      <c r="G184" s="127"/>
      <c r="H184" s="127"/>
      <c r="K184" s="127"/>
      <c r="L184" s="127"/>
    </row>
    <row r="185" spans="1:12" ht="17.25" hidden="1" thickBot="1" thickTop="1">
      <c r="A185" s="29"/>
      <c r="B185" s="29"/>
      <c r="C185" s="56"/>
      <c r="D185" s="15"/>
      <c r="F185" s="127"/>
      <c r="G185" s="127"/>
      <c r="H185" s="127"/>
      <c r="K185" s="127"/>
      <c r="L185" s="127"/>
    </row>
    <row r="186" spans="1:12" ht="17.25" hidden="1" thickBot="1" thickTop="1">
      <c r="A186" s="36"/>
      <c r="B186" s="36"/>
      <c r="C186" s="49"/>
      <c r="D186" s="13"/>
      <c r="F186" s="127"/>
      <c r="G186" s="127"/>
      <c r="H186" s="127"/>
      <c r="K186" s="127"/>
      <c r="L186" s="127"/>
    </row>
    <row r="187" spans="1:12" ht="17.25" hidden="1" thickBot="1" thickTop="1">
      <c r="A187" s="38"/>
      <c r="B187" s="38"/>
      <c r="C187" s="51"/>
      <c r="D187" s="59"/>
      <c r="F187" s="127"/>
      <c r="G187" s="127"/>
      <c r="H187" s="127"/>
      <c r="K187" s="127"/>
      <c r="L187" s="127"/>
    </row>
    <row r="188" spans="1:12" ht="17.25" hidden="1" thickBot="1" thickTop="1">
      <c r="A188" s="39"/>
      <c r="B188" s="39"/>
      <c r="C188" s="52"/>
      <c r="D188" s="141"/>
      <c r="E188" s="281"/>
      <c r="F188" s="127"/>
      <c r="G188" s="127"/>
      <c r="H188" s="127"/>
      <c r="K188" s="127"/>
      <c r="L188" s="127"/>
    </row>
    <row r="189" spans="1:12" ht="17.25" customHeight="1" thickBot="1" thickTop="1">
      <c r="A189" s="745" t="s">
        <v>242</v>
      </c>
      <c r="B189" s="745"/>
      <c r="C189" s="745"/>
      <c r="D189" s="745"/>
      <c r="F189" s="127"/>
      <c r="G189" s="127"/>
      <c r="H189" s="127"/>
      <c r="K189" s="127"/>
      <c r="L189" s="127"/>
    </row>
    <row r="190" spans="1:12" ht="16.5" thickTop="1">
      <c r="A190" s="36">
        <v>52</v>
      </c>
      <c r="B190" s="36"/>
      <c r="C190" s="49" t="s">
        <v>2</v>
      </c>
      <c r="D190" s="282">
        <f>5+7-5</f>
        <v>7</v>
      </c>
      <c r="F190" s="127"/>
      <c r="G190" s="127"/>
      <c r="H190" s="127"/>
      <c r="K190" s="127"/>
      <c r="L190" s="127"/>
    </row>
    <row r="191" spans="1:12" ht="16.5" thickBot="1">
      <c r="A191" s="39"/>
      <c r="B191" s="39"/>
      <c r="C191" s="52" t="s">
        <v>7</v>
      </c>
      <c r="D191" s="141">
        <f>SUM(D190:D190)</f>
        <v>7</v>
      </c>
      <c r="F191" s="127"/>
      <c r="G191" s="127"/>
      <c r="H191" s="127"/>
      <c r="K191" s="127"/>
      <c r="L191" s="127"/>
    </row>
    <row r="192" spans="1:12" ht="17.25" customHeight="1" thickBot="1" thickTop="1">
      <c r="A192" s="745" t="s">
        <v>517</v>
      </c>
      <c r="B192" s="745"/>
      <c r="C192" s="745"/>
      <c r="D192" s="745"/>
      <c r="F192" s="127"/>
      <c r="G192" s="127"/>
      <c r="H192" s="127"/>
      <c r="K192" s="127"/>
      <c r="L192" s="127"/>
    </row>
    <row r="193" spans="1:12" ht="16.5" thickTop="1">
      <c r="A193" s="36">
        <v>81</v>
      </c>
      <c r="B193" s="36"/>
      <c r="C193" s="48" t="s">
        <v>518</v>
      </c>
      <c r="D193" s="13">
        <v>5</v>
      </c>
      <c r="F193" s="127"/>
      <c r="G193" s="127"/>
      <c r="H193" s="127"/>
      <c r="K193" s="127"/>
      <c r="L193" s="127"/>
    </row>
    <row r="194" spans="1:12" ht="16.5" thickBot="1">
      <c r="A194" s="39"/>
      <c r="B194" s="39"/>
      <c r="C194" s="52" t="s">
        <v>7</v>
      </c>
      <c r="D194" s="141">
        <f>D193</f>
        <v>5</v>
      </c>
      <c r="F194" s="127"/>
      <c r="G194" s="127"/>
      <c r="H194" s="127"/>
      <c r="K194" s="127"/>
      <c r="L194" s="127"/>
    </row>
    <row r="195" spans="1:12" ht="32.25" customHeight="1" thickBot="1" thickTop="1">
      <c r="A195" s="745" t="s">
        <v>361</v>
      </c>
      <c r="B195" s="745"/>
      <c r="C195" s="745"/>
      <c r="D195" s="745"/>
      <c r="F195" s="127"/>
      <c r="G195" s="127"/>
      <c r="H195" s="127"/>
      <c r="K195" s="127"/>
      <c r="L195" s="127"/>
    </row>
    <row r="196" spans="1:12" ht="32.25" thickTop="1">
      <c r="A196" s="21"/>
      <c r="B196" s="21"/>
      <c r="C196" s="22" t="s">
        <v>174</v>
      </c>
      <c r="D196" s="443">
        <f>1780-200</f>
        <v>1580</v>
      </c>
      <c r="F196" s="127"/>
      <c r="G196" s="127"/>
      <c r="H196" s="127"/>
      <c r="K196" s="127"/>
      <c r="L196" s="127"/>
    </row>
    <row r="197" spans="1:12" ht="15.75">
      <c r="A197" s="159"/>
      <c r="B197" s="159"/>
      <c r="C197" s="154" t="s">
        <v>168</v>
      </c>
      <c r="D197" s="444">
        <v>53</v>
      </c>
      <c r="F197" s="127"/>
      <c r="G197" s="127"/>
      <c r="H197" s="127"/>
      <c r="K197" s="127"/>
      <c r="L197" s="127"/>
    </row>
    <row r="198" spans="1:12" ht="16.5" thickBot="1">
      <c r="A198" s="39"/>
      <c r="B198" s="39"/>
      <c r="C198" s="117" t="s">
        <v>173</v>
      </c>
      <c r="D198" s="445">
        <v>130</v>
      </c>
      <c r="F198" s="127"/>
      <c r="G198" s="127"/>
      <c r="H198" s="127"/>
      <c r="K198" s="127"/>
      <c r="L198" s="127"/>
    </row>
    <row r="199" spans="1:8" ht="16.5" thickTop="1">
      <c r="A199" s="33"/>
      <c r="B199" s="33"/>
      <c r="C199" s="22" t="s">
        <v>172</v>
      </c>
      <c r="D199" s="126">
        <f>D181+D170+D156+D145+D135+D125+D114+D105+D102+D83+D67+D59+D188+D196+D191+D194</f>
        <v>22867</v>
      </c>
      <c r="E199" s="279">
        <f>22137+730</f>
        <v>22867</v>
      </c>
      <c r="F199" s="127">
        <f>E199-D199</f>
        <v>0</v>
      </c>
      <c r="G199" s="127"/>
      <c r="H199" s="127"/>
    </row>
    <row r="200" spans="1:8" ht="15.75">
      <c r="A200" s="62"/>
      <c r="B200" s="62"/>
      <c r="C200" s="154" t="s">
        <v>168</v>
      </c>
      <c r="D200" s="146">
        <f>D68+D60+D197</f>
        <v>1157</v>
      </c>
      <c r="E200" s="127">
        <v>1157</v>
      </c>
      <c r="F200" s="127">
        <f>E200-D200</f>
        <v>0</v>
      </c>
      <c r="G200" s="127"/>
      <c r="H200" s="127"/>
    </row>
    <row r="201" spans="1:8" ht="15.75">
      <c r="A201" s="62"/>
      <c r="B201" s="62"/>
      <c r="C201" s="63" t="s">
        <v>173</v>
      </c>
      <c r="D201" s="147">
        <f>D165+D166+D123+D75+D31+D198+D32+D33+D95</f>
        <v>730</v>
      </c>
      <c r="E201" s="127">
        <v>730</v>
      </c>
      <c r="F201" s="127">
        <f>E201-D201</f>
        <v>0</v>
      </c>
      <c r="G201" s="127"/>
      <c r="H201" s="127"/>
    </row>
    <row r="202" spans="1:10" ht="16.5" thickBot="1">
      <c r="A202" s="23"/>
      <c r="B202" s="23"/>
      <c r="C202" s="117" t="s">
        <v>167</v>
      </c>
      <c r="D202" s="148">
        <f>D61</f>
        <v>460</v>
      </c>
      <c r="E202" s="127"/>
      <c r="F202" s="127"/>
      <c r="G202" s="127"/>
      <c r="H202" s="127"/>
      <c r="I202" s="127"/>
      <c r="J202" s="127"/>
    </row>
    <row r="203" spans="1:6" s="150" customFormat="1" ht="16.5" thickTop="1">
      <c r="A203" s="64"/>
      <c r="B203" s="64"/>
      <c r="C203" s="65"/>
      <c r="D203" s="64"/>
      <c r="E203" s="64"/>
      <c r="F203" s="149"/>
    </row>
    <row r="204" spans="1:6" s="150" customFormat="1" ht="15.75">
      <c r="A204" s="64"/>
      <c r="B204" s="64"/>
      <c r="C204" s="9" t="s">
        <v>61</v>
      </c>
      <c r="D204" s="164">
        <f>D85</f>
        <v>104</v>
      </c>
      <c r="E204" s="64"/>
      <c r="F204" s="149"/>
    </row>
    <row r="205" spans="1:5" ht="15.75">
      <c r="A205" s="66"/>
      <c r="B205" s="66"/>
      <c r="C205" s="9" t="s">
        <v>228</v>
      </c>
      <c r="D205" s="164">
        <f>D8+D9+D10+D86+D87+D88</f>
        <v>3930</v>
      </c>
      <c r="E205" s="64"/>
    </row>
    <row r="206" spans="1:5" ht="15.75">
      <c r="A206" s="66"/>
      <c r="B206" s="66"/>
      <c r="C206" s="9" t="s">
        <v>15</v>
      </c>
      <c r="D206" s="164">
        <f>D11</f>
        <v>389</v>
      </c>
      <c r="E206" s="64"/>
    </row>
    <row r="207" spans="1:5" ht="15.75">
      <c r="A207" s="66"/>
      <c r="B207" s="66"/>
      <c r="C207" s="9" t="s">
        <v>16</v>
      </c>
      <c r="D207" s="164">
        <f>D12</f>
        <v>186</v>
      </c>
      <c r="E207" s="64"/>
    </row>
    <row r="208" spans="1:4" ht="15.75">
      <c r="A208" s="67"/>
      <c r="B208" s="67"/>
      <c r="C208" s="9" t="s">
        <v>83</v>
      </c>
      <c r="D208" s="164">
        <f>D13</f>
        <v>39</v>
      </c>
    </row>
    <row r="209" spans="1:4" ht="15.75">
      <c r="A209" s="66"/>
      <c r="B209" s="66"/>
      <c r="C209" s="9" t="s">
        <v>49</v>
      </c>
      <c r="D209" s="164">
        <f>D14+D15</f>
        <v>306</v>
      </c>
    </row>
    <row r="210" spans="1:4" ht="15.75">
      <c r="A210" s="151"/>
      <c r="B210" s="151"/>
      <c r="C210" s="9" t="s">
        <v>28</v>
      </c>
      <c r="D210" s="164">
        <f>D16+D17+D74+D94</f>
        <v>2327</v>
      </c>
    </row>
    <row r="211" spans="1:4" ht="15.75">
      <c r="A211" s="151"/>
      <c r="B211" s="151"/>
      <c r="C211" s="9" t="s">
        <v>17</v>
      </c>
      <c r="D211" s="164">
        <f>D18+D71+D91</f>
        <v>962</v>
      </c>
    </row>
    <row r="212" spans="1:4" ht="15.75">
      <c r="A212" s="152"/>
      <c r="B212" s="152"/>
      <c r="C212" s="9" t="s">
        <v>70</v>
      </c>
      <c r="D212" s="164">
        <f>D31+D75+D32+D33+D95</f>
        <v>600</v>
      </c>
    </row>
    <row r="213" spans="1:4" ht="15.75">
      <c r="A213" s="152"/>
      <c r="B213" s="152"/>
      <c r="C213" s="9" t="s">
        <v>26</v>
      </c>
      <c r="D213" s="164">
        <f>D34+D76+D96</f>
        <v>962</v>
      </c>
    </row>
    <row r="214" spans="1:4" ht="15.75">
      <c r="A214" s="152"/>
      <c r="B214" s="152"/>
      <c r="C214" s="9" t="s">
        <v>37</v>
      </c>
      <c r="D214" s="164">
        <f>D35+D77+D97</f>
        <v>410</v>
      </c>
    </row>
    <row r="215" spans="1:4" ht="15.75">
      <c r="A215" s="152"/>
      <c r="B215" s="152"/>
      <c r="C215" s="9" t="s">
        <v>18</v>
      </c>
      <c r="D215" s="164">
        <f>D36</f>
        <v>394</v>
      </c>
    </row>
    <row r="216" spans="1:4" ht="15.75">
      <c r="A216" s="152"/>
      <c r="B216" s="152"/>
      <c r="C216" s="9" t="s">
        <v>65</v>
      </c>
      <c r="D216" s="164">
        <f>D79+D89</f>
        <v>425</v>
      </c>
    </row>
    <row r="217" spans="1:4" ht="15.75">
      <c r="A217" s="152"/>
      <c r="B217" s="152"/>
      <c r="C217" s="9" t="s">
        <v>229</v>
      </c>
      <c r="D217" s="164">
        <f>D37+D38+D39</f>
        <v>1104</v>
      </c>
    </row>
    <row r="218" spans="1:4" ht="15.75">
      <c r="A218" s="152"/>
      <c r="B218" s="152"/>
      <c r="C218" s="9" t="s">
        <v>346</v>
      </c>
      <c r="D218" s="164">
        <f>D40</f>
        <v>426</v>
      </c>
    </row>
    <row r="219" spans="1:4" ht="15.75">
      <c r="A219" s="152"/>
      <c r="B219" s="152"/>
      <c r="C219" s="9" t="s">
        <v>19</v>
      </c>
      <c r="D219" s="164">
        <f>D41+D190</f>
        <v>452</v>
      </c>
    </row>
    <row r="220" spans="1:4" ht="15.75">
      <c r="A220" s="152"/>
      <c r="B220" s="152"/>
      <c r="C220" s="9" t="s">
        <v>24</v>
      </c>
      <c r="D220" s="164">
        <f>D42+D80+D99</f>
        <v>1128</v>
      </c>
    </row>
    <row r="221" spans="1:4" ht="15.75">
      <c r="A221" s="152"/>
      <c r="B221" s="152"/>
      <c r="C221" s="9" t="s">
        <v>20</v>
      </c>
      <c r="D221" s="164">
        <f>D43+D78+D98</f>
        <v>566</v>
      </c>
    </row>
    <row r="222" spans="1:4" ht="15.75">
      <c r="A222" s="152"/>
      <c r="B222" s="152"/>
      <c r="C222" s="9" t="s">
        <v>51</v>
      </c>
      <c r="D222" s="164">
        <f>D44</f>
        <v>15</v>
      </c>
    </row>
    <row r="223" spans="1:4" ht="15.75">
      <c r="A223" s="152"/>
      <c r="B223" s="152"/>
      <c r="C223" s="9" t="s">
        <v>27</v>
      </c>
      <c r="D223" s="164">
        <f>D45</f>
        <v>266</v>
      </c>
    </row>
    <row r="224" spans="1:4" ht="15.75">
      <c r="A224" s="152"/>
      <c r="B224" s="152"/>
      <c r="C224" s="9" t="s">
        <v>21</v>
      </c>
      <c r="D224" s="164">
        <f>D46</f>
        <v>1526</v>
      </c>
    </row>
    <row r="225" spans="1:4" ht="15.75">
      <c r="A225" s="152"/>
      <c r="B225" s="152"/>
      <c r="C225" s="9" t="s">
        <v>66</v>
      </c>
      <c r="D225" s="164">
        <f>D47+D53+D81+D100</f>
        <v>1232</v>
      </c>
    </row>
    <row r="226" spans="1:4" ht="15.75">
      <c r="A226" s="152"/>
      <c r="B226" s="152"/>
      <c r="C226" s="9" t="s">
        <v>48</v>
      </c>
      <c r="D226" s="164">
        <f>D54+D72+D92</f>
        <v>696</v>
      </c>
    </row>
    <row r="227" spans="1:4" ht="15.75">
      <c r="A227" s="152"/>
      <c r="B227" s="152"/>
      <c r="C227" s="9" t="s">
        <v>29</v>
      </c>
      <c r="D227" s="164">
        <f>D55+D70+D90</f>
        <v>2404</v>
      </c>
    </row>
    <row r="228" spans="1:4" ht="15.75">
      <c r="A228" s="152"/>
      <c r="B228" s="152"/>
      <c r="C228" s="9" t="s">
        <v>518</v>
      </c>
      <c r="D228" s="164">
        <f>D193</f>
        <v>5</v>
      </c>
    </row>
    <row r="229" spans="1:4" ht="15.75">
      <c r="A229" s="152"/>
      <c r="B229" s="152"/>
      <c r="C229" s="9" t="s">
        <v>67</v>
      </c>
      <c r="D229" s="164">
        <f>D82+D56+D101</f>
        <v>60</v>
      </c>
    </row>
    <row r="230" spans="1:4" ht="15.75">
      <c r="A230" s="152"/>
      <c r="B230" s="152"/>
      <c r="C230" s="9" t="s">
        <v>39</v>
      </c>
      <c r="D230" s="164">
        <f>D57</f>
        <v>100</v>
      </c>
    </row>
    <row r="231" spans="1:4" ht="15.75">
      <c r="A231" s="152"/>
      <c r="B231" s="152"/>
      <c r="C231" s="9" t="s">
        <v>22</v>
      </c>
      <c r="D231" s="164">
        <f>D58+D73+D93</f>
        <v>273</v>
      </c>
    </row>
    <row r="232" spans="1:6" ht="15.75">
      <c r="A232" s="152"/>
      <c r="B232" s="152"/>
      <c r="C232" s="108" t="s">
        <v>230</v>
      </c>
      <c r="D232" s="198">
        <f>SUM(D204:D231)</f>
        <v>21287</v>
      </c>
      <c r="E232" s="279">
        <f>D199-D196</f>
        <v>21287</v>
      </c>
      <c r="F232" s="279">
        <f>E232-D232</f>
        <v>0</v>
      </c>
    </row>
    <row r="233" spans="1:4" ht="15">
      <c r="A233" s="152"/>
      <c r="B233" s="152"/>
      <c r="C233" s="152"/>
      <c r="D233" s="152"/>
    </row>
    <row r="234" spans="1:4" ht="15">
      <c r="A234" s="152"/>
      <c r="B234" s="152"/>
      <c r="C234" s="152"/>
      <c r="D234" s="152"/>
    </row>
    <row r="235" spans="1:4" ht="15">
      <c r="A235" s="152"/>
      <c r="B235" s="152"/>
      <c r="C235" s="152"/>
      <c r="D235" s="152"/>
    </row>
    <row r="236" spans="1:4" ht="15">
      <c r="A236" s="152"/>
      <c r="B236" s="152"/>
      <c r="C236" s="152"/>
      <c r="D236" s="152"/>
    </row>
    <row r="237" spans="1:4" ht="15">
      <c r="A237" s="152"/>
      <c r="B237" s="152"/>
      <c r="C237" s="152"/>
      <c r="D237" s="152"/>
    </row>
    <row r="238" spans="1:4" ht="15">
      <c r="A238" s="152"/>
      <c r="B238" s="152"/>
      <c r="C238" s="152"/>
      <c r="D238" s="152"/>
    </row>
    <row r="239" spans="1:4" ht="15">
      <c r="A239" s="152"/>
      <c r="B239" s="152"/>
      <c r="C239" s="152"/>
      <c r="D239" s="152"/>
    </row>
    <row r="240" spans="1:4" ht="15">
      <c r="A240" s="152"/>
      <c r="B240" s="152"/>
      <c r="C240" s="152"/>
      <c r="D240" s="152"/>
    </row>
    <row r="241" spans="1:4" ht="15">
      <c r="A241" s="152"/>
      <c r="B241" s="152"/>
      <c r="C241" s="152"/>
      <c r="D241" s="152"/>
    </row>
    <row r="242" spans="1:4" ht="15">
      <c r="A242" s="152"/>
      <c r="B242" s="152"/>
      <c r="C242" s="152"/>
      <c r="D242" s="152"/>
    </row>
    <row r="243" spans="1:4" ht="15">
      <c r="A243" s="152"/>
      <c r="B243" s="152"/>
      <c r="C243" s="152"/>
      <c r="D243" s="152"/>
    </row>
    <row r="244" spans="1:4" ht="15">
      <c r="A244" s="152"/>
      <c r="B244" s="152"/>
      <c r="C244" s="152"/>
      <c r="D244" s="152"/>
    </row>
    <row r="245" spans="1:4" ht="15">
      <c r="A245" s="152"/>
      <c r="B245" s="152"/>
      <c r="C245" s="152"/>
      <c r="D245" s="152"/>
    </row>
    <row r="246" spans="1:4" ht="15">
      <c r="A246" s="152"/>
      <c r="B246" s="152"/>
      <c r="C246" s="152"/>
      <c r="D246" s="152"/>
    </row>
    <row r="247" spans="1:4" ht="15">
      <c r="A247" s="152"/>
      <c r="B247" s="152"/>
      <c r="C247" s="152"/>
      <c r="D247" s="152"/>
    </row>
    <row r="248" spans="1:4" ht="15">
      <c r="A248" s="152"/>
      <c r="B248" s="152"/>
      <c r="C248" s="152"/>
      <c r="D248" s="152"/>
    </row>
    <row r="249" spans="1:4" ht="15">
      <c r="A249" s="152"/>
      <c r="B249" s="152"/>
      <c r="C249" s="152"/>
      <c r="D249" s="152"/>
    </row>
  </sheetData>
  <sheetProtection/>
  <mergeCells count="20">
    <mergeCell ref="B182:D182"/>
    <mergeCell ref="A195:D195"/>
    <mergeCell ref="A49:A51"/>
    <mergeCell ref="A7:D7"/>
    <mergeCell ref="A69:D69"/>
    <mergeCell ref="A84:D84"/>
    <mergeCell ref="A189:D189"/>
    <mergeCell ref="A192:D192"/>
    <mergeCell ref="D49:D51"/>
    <mergeCell ref="B115:D115"/>
    <mergeCell ref="B4:D4"/>
    <mergeCell ref="B136:D136"/>
    <mergeCell ref="B157:D157"/>
    <mergeCell ref="B62:D62"/>
    <mergeCell ref="B106:D106"/>
    <mergeCell ref="B171:D171"/>
    <mergeCell ref="B146:D146"/>
    <mergeCell ref="B103:D103"/>
    <mergeCell ref="B49:B51"/>
    <mergeCell ref="B126:D126"/>
  </mergeCells>
  <printOptions/>
  <pageMargins left="0.7874015748031497" right="0.1968503937007874" top="0.7480314960629921" bottom="0.35433070866141736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S211"/>
  <sheetViews>
    <sheetView tabSelected="1"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8.7109375" style="122" customWidth="1"/>
    <col min="2" max="2" width="35.8515625" style="122" customWidth="1"/>
    <col min="3" max="3" width="14.7109375" style="122" customWidth="1"/>
    <col min="4" max="4" width="17.421875" style="122" customWidth="1"/>
    <col min="5" max="5" width="14.7109375" style="122" customWidth="1"/>
    <col min="6" max="6" width="21.140625" style="160" customWidth="1"/>
    <col min="7" max="7" width="9.140625" style="122" customWidth="1"/>
    <col min="8" max="8" width="15.00390625" style="122" customWidth="1"/>
    <col min="9" max="9" width="12.7109375" style="122" bestFit="1" customWidth="1"/>
    <col min="10" max="19" width="9.140625" style="122" customWidth="1"/>
    <col min="20" max="20" width="11.421875" style="122" customWidth="1"/>
    <col min="21" max="16384" width="9.140625" style="122" customWidth="1"/>
  </cols>
  <sheetData>
    <row r="1" ht="15.75">
      <c r="F1" s="387" t="s">
        <v>288</v>
      </c>
    </row>
    <row r="3" spans="1:6" s="120" customFormat="1" ht="46.5" customHeight="1">
      <c r="A3" s="754" t="str">
        <f>'1. АМП'!A5:E5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54"/>
      <c r="C3" s="754"/>
      <c r="D3" s="754"/>
      <c r="E3" s="754"/>
      <c r="F3" s="754"/>
    </row>
    <row r="4" spans="1:6" s="120" customFormat="1" ht="19.5" customHeight="1">
      <c r="A4" s="121"/>
      <c r="B4" s="121"/>
      <c r="C4" s="121"/>
      <c r="D4" s="121"/>
      <c r="E4" s="121"/>
      <c r="F4" s="121"/>
    </row>
    <row r="5" spans="1:6" s="120" customFormat="1" ht="22.5" customHeight="1">
      <c r="A5" s="755" t="s">
        <v>293</v>
      </c>
      <c r="B5" s="755"/>
      <c r="C5" s="755"/>
      <c r="D5" s="755"/>
      <c r="E5" s="755"/>
      <c r="F5" s="755"/>
    </row>
    <row r="6" ht="16.5" thickBot="1"/>
    <row r="7" spans="1:6" ht="20.25" customHeight="1" thickTop="1">
      <c r="A7" s="756" t="s">
        <v>345</v>
      </c>
      <c r="B7" s="758" t="s">
        <v>84</v>
      </c>
      <c r="C7" s="762" t="s">
        <v>178</v>
      </c>
      <c r="D7" s="763"/>
      <c r="E7" s="763"/>
      <c r="F7" s="760" t="s">
        <v>179</v>
      </c>
    </row>
    <row r="8" spans="1:6" ht="67.5" customHeight="1" thickBot="1">
      <c r="A8" s="757"/>
      <c r="B8" s="759"/>
      <c r="C8" s="161" t="s">
        <v>175</v>
      </c>
      <c r="D8" s="162" t="s">
        <v>176</v>
      </c>
      <c r="E8" s="197" t="s">
        <v>177</v>
      </c>
      <c r="F8" s="761"/>
    </row>
    <row r="9" spans="1:6" ht="21.75" customHeight="1" thickBot="1" thickTop="1">
      <c r="A9" s="744" t="s">
        <v>244</v>
      </c>
      <c r="B9" s="745"/>
      <c r="C9" s="745"/>
      <c r="D9" s="745"/>
      <c r="E9" s="745"/>
      <c r="F9" s="745"/>
    </row>
    <row r="10" spans="1:6" ht="33.75" customHeight="1" thickTop="1">
      <c r="A10" s="36">
        <v>6</v>
      </c>
      <c r="B10" s="14" t="s">
        <v>226</v>
      </c>
      <c r="C10" s="282">
        <v>321</v>
      </c>
      <c r="D10" s="285"/>
      <c r="E10" s="285"/>
      <c r="F10" s="198">
        <f>C10+D10+E10</f>
        <v>321</v>
      </c>
    </row>
    <row r="11" spans="1:6" ht="30.75" customHeight="1">
      <c r="A11" s="36">
        <v>5</v>
      </c>
      <c r="B11" s="14" t="s">
        <v>225</v>
      </c>
      <c r="C11" s="282">
        <v>0</v>
      </c>
      <c r="D11" s="285"/>
      <c r="E11" s="285"/>
      <c r="F11" s="198">
        <f>C11+D11+E11</f>
        <v>0</v>
      </c>
    </row>
    <row r="12" spans="1:17" ht="15.75">
      <c r="A12" s="36">
        <v>15</v>
      </c>
      <c r="B12" s="14" t="s">
        <v>16</v>
      </c>
      <c r="C12" s="282">
        <v>59</v>
      </c>
      <c r="D12" s="285"/>
      <c r="E12" s="285"/>
      <c r="F12" s="198">
        <f>C12+D12+E12</f>
        <v>59</v>
      </c>
      <c r="Q12" s="122" t="s">
        <v>58</v>
      </c>
    </row>
    <row r="13" spans="1:6" ht="15.75">
      <c r="A13" s="36">
        <v>15</v>
      </c>
      <c r="B13" s="380" t="s">
        <v>284</v>
      </c>
      <c r="C13" s="588">
        <v>7</v>
      </c>
      <c r="D13" s="285"/>
      <c r="E13" s="285"/>
      <c r="F13" s="198">
        <f>C13+D13+E13</f>
        <v>7</v>
      </c>
    </row>
    <row r="14" spans="1:6" ht="15.75">
      <c r="A14" s="36">
        <v>17</v>
      </c>
      <c r="B14" s="14" t="s">
        <v>49</v>
      </c>
      <c r="C14" s="282">
        <v>160</v>
      </c>
      <c r="D14" s="285"/>
      <c r="E14" s="285"/>
      <c r="F14" s="112">
        <f aca="true" t="shared" si="0" ref="F14:F33">C14+D14+E14</f>
        <v>160</v>
      </c>
    </row>
    <row r="15" spans="1:6" ht="18.75" customHeight="1">
      <c r="A15" s="36">
        <v>17</v>
      </c>
      <c r="B15" s="14" t="s">
        <v>52</v>
      </c>
      <c r="C15" s="282">
        <v>41</v>
      </c>
      <c r="D15" s="285"/>
      <c r="E15" s="285"/>
      <c r="F15" s="112">
        <f t="shared" si="0"/>
        <v>41</v>
      </c>
    </row>
    <row r="16" spans="1:6" ht="39.75" customHeight="1">
      <c r="A16" s="36">
        <v>24</v>
      </c>
      <c r="B16" s="16" t="s">
        <v>546</v>
      </c>
      <c r="C16" s="283">
        <v>40</v>
      </c>
      <c r="D16" s="287"/>
      <c r="E16" s="287"/>
      <c r="F16" s="112">
        <f t="shared" si="0"/>
        <v>40</v>
      </c>
    </row>
    <row r="17" spans="1:6" ht="15.75">
      <c r="A17" s="36">
        <v>26</v>
      </c>
      <c r="B17" s="16" t="s">
        <v>17</v>
      </c>
      <c r="C17" s="283">
        <v>70</v>
      </c>
      <c r="D17" s="287"/>
      <c r="E17" s="287"/>
      <c r="F17" s="165">
        <f t="shared" si="0"/>
        <v>70</v>
      </c>
    </row>
    <row r="18" spans="1:6" ht="15.75">
      <c r="A18" s="36">
        <v>30</v>
      </c>
      <c r="B18" s="14" t="s">
        <v>70</v>
      </c>
      <c r="C18" s="282">
        <v>0</v>
      </c>
      <c r="D18" s="285"/>
      <c r="E18" s="285"/>
      <c r="F18" s="112">
        <f t="shared" si="0"/>
        <v>0</v>
      </c>
    </row>
    <row r="19" spans="1:6" ht="15.75">
      <c r="A19" s="36">
        <v>30</v>
      </c>
      <c r="B19" s="14" t="s">
        <v>285</v>
      </c>
      <c r="C19" s="282">
        <v>0</v>
      </c>
      <c r="D19" s="285"/>
      <c r="E19" s="285"/>
      <c r="F19" s="112">
        <f t="shared" si="0"/>
        <v>0</v>
      </c>
    </row>
    <row r="20" spans="1:7" ht="15.75">
      <c r="A20" s="36">
        <v>34</v>
      </c>
      <c r="B20" s="14" t="s">
        <v>26</v>
      </c>
      <c r="C20" s="282">
        <v>169</v>
      </c>
      <c r="D20" s="285"/>
      <c r="E20" s="285"/>
      <c r="F20" s="112">
        <f t="shared" si="0"/>
        <v>169</v>
      </c>
      <c r="G20" s="125"/>
    </row>
    <row r="21" spans="1:9" ht="16.5" thickTop="1">
      <c r="A21" s="36">
        <v>41</v>
      </c>
      <c r="B21" s="14" t="s">
        <v>18</v>
      </c>
      <c r="C21" s="282">
        <v>143</v>
      </c>
      <c r="D21" s="285"/>
      <c r="E21" s="285"/>
      <c r="F21" s="112">
        <f t="shared" si="0"/>
        <v>143</v>
      </c>
      <c r="I21" s="66"/>
    </row>
    <row r="22" spans="1:9" ht="16.5" thickTop="1">
      <c r="A22" s="36">
        <v>42</v>
      </c>
      <c r="B22" s="14" t="s">
        <v>80</v>
      </c>
      <c r="C22" s="282">
        <v>170</v>
      </c>
      <c r="D22" s="285"/>
      <c r="E22" s="285"/>
      <c r="F22" s="112">
        <f t="shared" si="0"/>
        <v>170</v>
      </c>
      <c r="I22" s="66"/>
    </row>
    <row r="23" spans="1:9" ht="32.25" thickTop="1">
      <c r="A23" s="36">
        <f>A22</f>
        <v>42</v>
      </c>
      <c r="B23" s="14" t="s">
        <v>81</v>
      </c>
      <c r="C23" s="332">
        <f>822+36+220</f>
        <v>1078</v>
      </c>
      <c r="D23" s="285">
        <f>10</f>
        <v>10</v>
      </c>
      <c r="E23" s="285"/>
      <c r="F23" s="112">
        <f t="shared" si="0"/>
        <v>1088</v>
      </c>
      <c r="I23" s="66"/>
    </row>
    <row r="24" spans="1:9" ht="32.25" thickTop="1">
      <c r="A24" s="36">
        <f>A22</f>
        <v>42</v>
      </c>
      <c r="B24" s="14" t="s">
        <v>180</v>
      </c>
      <c r="C24" s="282">
        <f>340-220</f>
        <v>120</v>
      </c>
      <c r="D24" s="285"/>
      <c r="E24" s="285"/>
      <c r="F24" s="112">
        <f t="shared" si="0"/>
        <v>120</v>
      </c>
      <c r="I24" s="66"/>
    </row>
    <row r="25" spans="1:6" ht="16.5" thickTop="1">
      <c r="A25" s="36">
        <v>50</v>
      </c>
      <c r="B25" s="14" t="s">
        <v>346</v>
      </c>
      <c r="C25" s="282">
        <v>150</v>
      </c>
      <c r="D25" s="285"/>
      <c r="E25" s="285"/>
      <c r="F25" s="112">
        <f t="shared" si="0"/>
        <v>150</v>
      </c>
    </row>
    <row r="26" spans="1:6" ht="16.5" thickTop="1">
      <c r="A26" s="36">
        <v>52</v>
      </c>
      <c r="B26" s="14" t="s">
        <v>19</v>
      </c>
      <c r="C26" s="282">
        <v>120</v>
      </c>
      <c r="D26" s="285"/>
      <c r="E26" s="285"/>
      <c r="F26" s="396">
        <f t="shared" si="0"/>
        <v>120</v>
      </c>
    </row>
    <row r="27" spans="1:6" ht="15.75">
      <c r="A27" s="36">
        <v>55</v>
      </c>
      <c r="B27" s="14" t="s">
        <v>24</v>
      </c>
      <c r="C27" s="332">
        <v>111</v>
      </c>
      <c r="D27" s="285">
        <v>30</v>
      </c>
      <c r="E27" s="285">
        <v>76</v>
      </c>
      <c r="F27" s="396">
        <f t="shared" si="0"/>
        <v>217</v>
      </c>
    </row>
    <row r="28" spans="1:6" ht="15.75">
      <c r="A28" s="36">
        <v>65</v>
      </c>
      <c r="B28" s="14" t="s">
        <v>51</v>
      </c>
      <c r="C28" s="332">
        <v>50</v>
      </c>
      <c r="D28" s="285"/>
      <c r="E28" s="285"/>
      <c r="F28" s="396">
        <f t="shared" si="0"/>
        <v>50</v>
      </c>
    </row>
    <row r="29" spans="1:6" ht="15.75">
      <c r="A29" s="36">
        <v>67</v>
      </c>
      <c r="B29" s="14" t="s">
        <v>27</v>
      </c>
      <c r="C29" s="282">
        <v>48</v>
      </c>
      <c r="D29" s="285"/>
      <c r="E29" s="285"/>
      <c r="F29" s="396">
        <f t="shared" si="0"/>
        <v>48</v>
      </c>
    </row>
    <row r="30" spans="1:6" ht="15.75">
      <c r="A30" s="36">
        <v>71</v>
      </c>
      <c r="B30" s="14" t="s">
        <v>21</v>
      </c>
      <c r="C30" s="332">
        <v>434</v>
      </c>
      <c r="D30" s="285">
        <v>478</v>
      </c>
      <c r="E30" s="285">
        <v>130</v>
      </c>
      <c r="F30" s="381">
        <f>C30+D30+E30</f>
        <v>1042</v>
      </c>
    </row>
    <row r="31" spans="1:7" ht="34.5" customHeight="1">
      <c r="A31" s="36">
        <v>74</v>
      </c>
      <c r="B31" s="17" t="s">
        <v>85</v>
      </c>
      <c r="C31" s="282">
        <f>109</f>
        <v>109</v>
      </c>
      <c r="D31" s="285"/>
      <c r="E31" s="285"/>
      <c r="F31" s="396">
        <f t="shared" si="0"/>
        <v>109</v>
      </c>
      <c r="G31" s="125"/>
    </row>
    <row r="32" spans="1:6" ht="16.5" thickTop="1">
      <c r="A32" s="36">
        <v>77</v>
      </c>
      <c r="B32" s="18" t="s">
        <v>48</v>
      </c>
      <c r="C32" s="282">
        <v>110</v>
      </c>
      <c r="D32" s="285"/>
      <c r="E32" s="285"/>
      <c r="F32" s="112">
        <f t="shared" si="0"/>
        <v>110</v>
      </c>
    </row>
    <row r="33" spans="1:7" ht="16.5" thickTop="1">
      <c r="A33" s="36">
        <v>80</v>
      </c>
      <c r="B33" s="18" t="s">
        <v>29</v>
      </c>
      <c r="C33" s="382">
        <f>302</f>
        <v>302</v>
      </c>
      <c r="D33" s="285"/>
      <c r="E33" s="285"/>
      <c r="F33" s="112">
        <f t="shared" si="0"/>
        <v>302</v>
      </c>
      <c r="G33" s="125"/>
    </row>
    <row r="34" spans="1:13" ht="16.5" thickTop="1">
      <c r="A34" s="21"/>
      <c r="B34" s="22" t="s">
        <v>60</v>
      </c>
      <c r="C34" s="383">
        <f>SUM(C10:C33)-C13</f>
        <v>3805</v>
      </c>
      <c r="D34" s="167">
        <f>SUM(D10:D33)-D13</f>
        <v>518</v>
      </c>
      <c r="E34" s="167">
        <f>SUM(E10:E33)-E13</f>
        <v>206</v>
      </c>
      <c r="F34" s="168">
        <f>SUM(F10:F33)-F13</f>
        <v>4529</v>
      </c>
      <c r="G34" s="127"/>
      <c r="H34" s="128"/>
      <c r="I34" s="128"/>
      <c r="J34" s="128"/>
      <c r="K34" s="129"/>
      <c r="L34" s="129"/>
      <c r="M34" s="129"/>
    </row>
    <row r="35" spans="1:13" ht="32.25" thickBot="1">
      <c r="A35" s="27"/>
      <c r="B35" s="154" t="s">
        <v>168</v>
      </c>
      <c r="C35" s="200">
        <f>C23+C22+C24+C13</f>
        <v>1375</v>
      </c>
      <c r="D35" s="200">
        <f>D23+D22+D24</f>
        <v>10</v>
      </c>
      <c r="E35" s="200">
        <f>E23+E22+E24</f>
        <v>0</v>
      </c>
      <c r="F35" s="201">
        <f>C35+D35+E35</f>
        <v>1385</v>
      </c>
      <c r="G35" s="127"/>
      <c r="H35" s="128"/>
      <c r="I35" s="128"/>
      <c r="J35" s="128"/>
      <c r="K35" s="129"/>
      <c r="L35" s="129"/>
      <c r="M35" s="129"/>
    </row>
    <row r="36" spans="1:13" ht="22.5" customHeight="1" hidden="1" thickBot="1" thickTop="1">
      <c r="A36" s="744"/>
      <c r="B36" s="745"/>
      <c r="C36" s="745"/>
      <c r="D36" s="745"/>
      <c r="E36" s="745"/>
      <c r="F36" s="745"/>
      <c r="H36" s="129"/>
      <c r="I36" s="129"/>
      <c r="J36" s="129"/>
      <c r="K36" s="129"/>
      <c r="L36" s="129"/>
      <c r="M36" s="129"/>
    </row>
    <row r="37" spans="1:13" ht="33.75" customHeight="1" hidden="1" thickTop="1">
      <c r="A37" s="24"/>
      <c r="B37" s="25"/>
      <c r="C37" s="24"/>
      <c r="D37" s="169"/>
      <c r="E37" s="169"/>
      <c r="F37" s="170"/>
      <c r="H37" s="129"/>
      <c r="I37" s="129"/>
      <c r="J37" s="129"/>
      <c r="K37" s="129"/>
      <c r="L37" s="129"/>
      <c r="M37" s="129"/>
    </row>
    <row r="38" spans="1:13" ht="33.75" customHeight="1" hidden="1">
      <c r="A38" s="15"/>
      <c r="B38" s="16"/>
      <c r="C38" s="15"/>
      <c r="D38" s="285"/>
      <c r="E38" s="171"/>
      <c r="F38" s="165"/>
      <c r="H38" s="129"/>
      <c r="I38" s="129"/>
      <c r="J38" s="129"/>
      <c r="K38" s="129"/>
      <c r="L38" s="129"/>
      <c r="M38" s="129"/>
    </row>
    <row r="39" spans="1:13" ht="17.25" hidden="1" thickBot="1" thickTop="1">
      <c r="A39" s="26"/>
      <c r="B39" s="14"/>
      <c r="C39" s="20"/>
      <c r="D39" s="8"/>
      <c r="E39" s="8"/>
      <c r="F39" s="112"/>
      <c r="H39" s="129"/>
      <c r="I39" s="129"/>
      <c r="J39" s="129"/>
      <c r="K39" s="129"/>
      <c r="L39" s="129"/>
      <c r="M39" s="129"/>
    </row>
    <row r="40" spans="1:13" ht="17.25" hidden="1" thickBot="1" thickTop="1">
      <c r="A40" s="27"/>
      <c r="B40" s="28"/>
      <c r="C40" s="136"/>
      <c r="D40" s="172"/>
      <c r="E40" s="172"/>
      <c r="F40" s="86"/>
      <c r="K40" s="129"/>
      <c r="L40" s="129"/>
      <c r="M40" s="129"/>
    </row>
    <row r="41" spans="1:13" ht="16.5" hidden="1" thickTop="1">
      <c r="A41" s="27"/>
      <c r="B41" s="154"/>
      <c r="C41" s="199"/>
      <c r="D41" s="200"/>
      <c r="E41" s="200"/>
      <c r="F41" s="201"/>
      <c r="G41" s="127"/>
      <c r="H41" s="128"/>
      <c r="I41" s="128"/>
      <c r="J41" s="128"/>
      <c r="K41" s="129"/>
      <c r="L41" s="129"/>
      <c r="M41" s="129"/>
    </row>
    <row r="42" spans="1:13" ht="17.25" thickBot="1" thickTop="1">
      <c r="A42" s="744" t="s">
        <v>507</v>
      </c>
      <c r="B42" s="745"/>
      <c r="C42" s="745"/>
      <c r="D42" s="745"/>
      <c r="E42" s="745"/>
      <c r="F42" s="745"/>
      <c r="H42" s="129"/>
      <c r="I42" s="129"/>
      <c r="J42" s="129"/>
      <c r="K42" s="129"/>
      <c r="L42" s="129"/>
      <c r="M42" s="129"/>
    </row>
    <row r="43" spans="1:6" ht="16.5" thickTop="1">
      <c r="A43" s="29">
        <v>34</v>
      </c>
      <c r="B43" s="30" t="s">
        <v>31</v>
      </c>
      <c r="C43" s="587">
        <v>36</v>
      </c>
      <c r="D43" s="164"/>
      <c r="E43" s="173"/>
      <c r="F43" s="165">
        <f>C43+D43+E43</f>
        <v>36</v>
      </c>
    </row>
    <row r="44" spans="1:19" ht="15.75">
      <c r="A44" s="29">
        <v>55</v>
      </c>
      <c r="B44" s="30" t="s">
        <v>24</v>
      </c>
      <c r="C44" s="587">
        <v>117</v>
      </c>
      <c r="D44" s="173"/>
      <c r="E44" s="173"/>
      <c r="F44" s="165">
        <f>C44+D44+E44</f>
        <v>117</v>
      </c>
      <c r="P44" s="542"/>
      <c r="Q44" s="542"/>
      <c r="R44" s="542"/>
      <c r="S44" s="542"/>
    </row>
    <row r="45" spans="1:6" ht="16.5" thickBot="1">
      <c r="A45" s="62">
        <v>23</v>
      </c>
      <c r="B45" s="335" t="s">
        <v>22</v>
      </c>
      <c r="C45" s="66">
        <v>14</v>
      </c>
      <c r="D45" s="186"/>
      <c r="E45" s="186"/>
      <c r="F45" s="165">
        <f>C45+D45+E45</f>
        <v>14</v>
      </c>
    </row>
    <row r="46" spans="1:10" ht="17.25" thickBot="1" thickTop="1">
      <c r="A46" s="31"/>
      <c r="B46" s="32" t="s">
        <v>7</v>
      </c>
      <c r="C46" s="138">
        <f>SUM(C43:C45)</f>
        <v>167</v>
      </c>
      <c r="D46" s="172">
        <f>SUM(D43:D45)</f>
        <v>0</v>
      </c>
      <c r="E46" s="172">
        <f>SUM(E43:E45)</f>
        <v>0</v>
      </c>
      <c r="F46" s="86">
        <f>SUM(F43:F45)</f>
        <v>167</v>
      </c>
      <c r="G46" s="127"/>
      <c r="H46" s="127"/>
      <c r="I46" s="127"/>
      <c r="J46" s="127"/>
    </row>
    <row r="47" spans="1:6" ht="17.25" thickBot="1" thickTop="1">
      <c r="A47" s="744" t="s">
        <v>501</v>
      </c>
      <c r="B47" s="745"/>
      <c r="C47" s="745"/>
      <c r="D47" s="745"/>
      <c r="E47" s="745"/>
      <c r="F47" s="745"/>
    </row>
    <row r="48" spans="1:9" s="134" customFormat="1" ht="32.25" thickTop="1">
      <c r="A48" s="35">
        <v>6</v>
      </c>
      <c r="B48" s="30" t="s">
        <v>226</v>
      </c>
      <c r="C48" s="446">
        <v>574</v>
      </c>
      <c r="D48" s="287">
        <v>80</v>
      </c>
      <c r="E48" s="173"/>
      <c r="F48" s="174">
        <f aca="true" t="shared" si="1" ref="F48:F53">C48+D48+E48</f>
        <v>654</v>
      </c>
      <c r="G48" s="122"/>
      <c r="H48" s="139"/>
      <c r="I48" s="140"/>
    </row>
    <row r="49" spans="1:9" s="393" customFormat="1" ht="15.75" customHeight="1">
      <c r="A49" s="390">
        <f>A48</f>
        <v>6</v>
      </c>
      <c r="B49" s="391" t="s">
        <v>53</v>
      </c>
      <c r="C49" s="447">
        <v>265</v>
      </c>
      <c r="D49" s="448">
        <v>80</v>
      </c>
      <c r="E49" s="392"/>
      <c r="F49" s="428">
        <f t="shared" si="1"/>
        <v>345</v>
      </c>
      <c r="H49" s="394"/>
      <c r="I49" s="395"/>
    </row>
    <row r="50" spans="1:9" ht="31.5">
      <c r="A50" s="36">
        <v>5</v>
      </c>
      <c r="B50" s="14" t="s">
        <v>225</v>
      </c>
      <c r="C50" s="434">
        <v>125</v>
      </c>
      <c r="D50" s="449"/>
      <c r="E50" s="163"/>
      <c r="F50" s="175">
        <f t="shared" si="1"/>
        <v>125</v>
      </c>
      <c r="I50" s="127"/>
    </row>
    <row r="51" spans="1:9" ht="15.75">
      <c r="A51" s="29">
        <v>34</v>
      </c>
      <c r="B51" s="30" t="s">
        <v>31</v>
      </c>
      <c r="C51" s="587">
        <v>59</v>
      </c>
      <c r="D51" s="164"/>
      <c r="E51" s="173"/>
      <c r="F51" s="165">
        <f t="shared" si="1"/>
        <v>59</v>
      </c>
      <c r="I51" s="127"/>
    </row>
    <row r="52" spans="1:9" ht="15.75">
      <c r="A52" s="29">
        <v>55</v>
      </c>
      <c r="B52" s="30" t="s">
        <v>24</v>
      </c>
      <c r="C52" s="587">
        <v>83</v>
      </c>
      <c r="D52" s="173"/>
      <c r="E52" s="173"/>
      <c r="F52" s="165">
        <f t="shared" si="1"/>
        <v>83</v>
      </c>
      <c r="I52" s="127"/>
    </row>
    <row r="53" spans="1:9" ht="16.5" thickBot="1">
      <c r="A53" s="62">
        <v>23</v>
      </c>
      <c r="B53" s="335" t="s">
        <v>22</v>
      </c>
      <c r="C53" s="66">
        <v>11</v>
      </c>
      <c r="D53" s="186"/>
      <c r="E53" s="186"/>
      <c r="F53" s="165">
        <f t="shared" si="1"/>
        <v>11</v>
      </c>
      <c r="I53" s="127"/>
    </row>
    <row r="54" spans="1:10" ht="17.25" thickBot="1" thickTop="1">
      <c r="A54" s="31"/>
      <c r="B54" s="32" t="s">
        <v>7</v>
      </c>
      <c r="C54" s="138">
        <f>SUM(C48:C53)-C49</f>
        <v>852</v>
      </c>
      <c r="D54" s="172">
        <f>SUM(D48:D53)-D49</f>
        <v>80</v>
      </c>
      <c r="E54" s="172">
        <f>SUM(E48:E53)-E49</f>
        <v>0</v>
      </c>
      <c r="F54" s="86">
        <f>SUM(F48:F53)-F49</f>
        <v>932</v>
      </c>
      <c r="G54" s="127"/>
      <c r="H54" s="127"/>
      <c r="I54" s="127"/>
      <c r="J54" s="127"/>
    </row>
    <row r="55" spans="1:6" ht="17.25" hidden="1" thickBot="1" thickTop="1">
      <c r="A55" s="744"/>
      <c r="B55" s="745"/>
      <c r="C55" s="745"/>
      <c r="D55" s="745"/>
      <c r="E55" s="745"/>
      <c r="F55" s="745"/>
    </row>
    <row r="56" spans="1:6" ht="17.25" hidden="1" thickBot="1" thickTop="1">
      <c r="A56" s="41"/>
      <c r="B56" s="42"/>
      <c r="C56" s="142"/>
      <c r="D56" s="202"/>
      <c r="E56" s="202"/>
      <c r="F56" s="177"/>
    </row>
    <row r="57" spans="1:10" ht="17.25" hidden="1" thickBot="1" thickTop="1">
      <c r="A57" s="39"/>
      <c r="B57" s="40"/>
      <c r="C57" s="141"/>
      <c r="D57" s="172"/>
      <c r="E57" s="172"/>
      <c r="F57" s="178"/>
      <c r="H57" s="127"/>
      <c r="I57" s="127"/>
      <c r="J57" s="127"/>
    </row>
    <row r="58" spans="1:13" ht="17.25" thickBot="1" thickTop="1">
      <c r="A58" s="744" t="s">
        <v>243</v>
      </c>
      <c r="B58" s="745"/>
      <c r="C58" s="745"/>
      <c r="D58" s="745"/>
      <c r="E58" s="745"/>
      <c r="F58" s="745"/>
      <c r="H58" s="129"/>
      <c r="I58" s="129"/>
      <c r="J58" s="129"/>
      <c r="K58" s="129"/>
      <c r="L58" s="129"/>
      <c r="M58" s="129"/>
    </row>
    <row r="59" spans="1:13" ht="16.5" thickTop="1">
      <c r="A59" s="29">
        <v>71</v>
      </c>
      <c r="B59" s="43" t="s">
        <v>21</v>
      </c>
      <c r="C59" s="15">
        <v>0</v>
      </c>
      <c r="D59" s="654">
        <f>2325+130-52-30-175</f>
        <v>2198</v>
      </c>
      <c r="E59" s="288">
        <f>130-130</f>
        <v>0</v>
      </c>
      <c r="F59" s="165">
        <f>C59+D59+E59</f>
        <v>2198</v>
      </c>
      <c r="H59" s="129"/>
      <c r="I59" s="129"/>
      <c r="J59" s="129"/>
      <c r="K59" s="129"/>
      <c r="L59" s="129"/>
      <c r="M59" s="129"/>
    </row>
    <row r="60" spans="1:13" ht="15.75">
      <c r="A60" s="44">
        <v>80</v>
      </c>
      <c r="B60" s="45" t="s">
        <v>29</v>
      </c>
      <c r="C60" s="19">
        <v>0</v>
      </c>
      <c r="D60" s="655">
        <f>152+18+145</f>
        <v>315</v>
      </c>
      <c r="E60" s="540">
        <f>18-18</f>
        <v>0</v>
      </c>
      <c r="F60" s="112">
        <f>C60+D60+E60</f>
        <v>315</v>
      </c>
      <c r="H60" s="129"/>
      <c r="I60" s="129"/>
      <c r="J60" s="129"/>
      <c r="K60" s="129"/>
      <c r="L60" s="129"/>
      <c r="M60" s="129"/>
    </row>
    <row r="61" spans="1:13" ht="15.75">
      <c r="A61" s="36">
        <v>85</v>
      </c>
      <c r="B61" s="37" t="s">
        <v>22</v>
      </c>
      <c r="C61" s="19">
        <v>0</v>
      </c>
      <c r="D61" s="655">
        <f>30+30</f>
        <v>60</v>
      </c>
      <c r="E61" s="541"/>
      <c r="F61" s="450">
        <f>C61+D61+E61</f>
        <v>60</v>
      </c>
      <c r="H61" s="129"/>
      <c r="I61" s="129"/>
      <c r="J61" s="129"/>
      <c r="K61" s="129"/>
      <c r="L61" s="129"/>
      <c r="M61" s="129"/>
    </row>
    <row r="62" spans="1:13" ht="16.5" thickBot="1">
      <c r="A62" s="62">
        <v>30</v>
      </c>
      <c r="B62" s="335" t="s">
        <v>366</v>
      </c>
      <c r="C62" s="66">
        <v>0</v>
      </c>
      <c r="D62" s="186">
        <f>340-290</f>
        <v>50</v>
      </c>
      <c r="E62" s="186"/>
      <c r="F62" s="165">
        <f>C62+D62+E62</f>
        <v>50</v>
      </c>
      <c r="H62" s="129"/>
      <c r="I62" s="129"/>
      <c r="J62" s="129"/>
      <c r="K62" s="129"/>
      <c r="L62" s="129"/>
      <c r="M62" s="129"/>
    </row>
    <row r="63" spans="1:13" ht="17.25" thickBot="1" thickTop="1">
      <c r="A63" s="31"/>
      <c r="B63" s="47" t="s">
        <v>7</v>
      </c>
      <c r="C63" s="136">
        <f>SUM(C59:C62)</f>
        <v>0</v>
      </c>
      <c r="D63" s="180">
        <f>SUM(D59:D62)</f>
        <v>2623</v>
      </c>
      <c r="E63" s="180">
        <f>SUM(E59:E62)</f>
        <v>0</v>
      </c>
      <c r="F63" s="180">
        <f>SUM(F59:F62)</f>
        <v>2623</v>
      </c>
      <c r="H63" s="128"/>
      <c r="I63" s="128"/>
      <c r="J63" s="128"/>
      <c r="K63" s="129"/>
      <c r="L63" s="129"/>
      <c r="M63" s="129"/>
    </row>
    <row r="64" spans="1:6" ht="17.25" thickBot="1" thickTop="1">
      <c r="A64" s="744" t="s">
        <v>301</v>
      </c>
      <c r="B64" s="745"/>
      <c r="C64" s="745"/>
      <c r="D64" s="745"/>
      <c r="E64" s="745"/>
      <c r="F64" s="745"/>
    </row>
    <row r="65" spans="1:6" ht="32.25" thickTop="1">
      <c r="A65" s="33">
        <v>6</v>
      </c>
      <c r="B65" s="30" t="s">
        <v>226</v>
      </c>
      <c r="C65" s="434">
        <v>200</v>
      </c>
      <c r="D65" s="181">
        <v>0</v>
      </c>
      <c r="E65" s="181">
        <v>0</v>
      </c>
      <c r="F65" s="165">
        <f aca="true" t="shared" si="2" ref="F65:F71">C65+D65+E65</f>
        <v>200</v>
      </c>
    </row>
    <row r="66" spans="1:7" s="134" customFormat="1" ht="15.75">
      <c r="A66" s="50">
        <v>80</v>
      </c>
      <c r="B66" s="45" t="s">
        <v>29</v>
      </c>
      <c r="C66" s="434">
        <v>110</v>
      </c>
      <c r="D66" s="164">
        <v>0</v>
      </c>
      <c r="E66" s="164">
        <v>0</v>
      </c>
      <c r="F66" s="112">
        <f t="shared" si="2"/>
        <v>110</v>
      </c>
      <c r="G66" s="122"/>
    </row>
    <row r="67" spans="1:7" s="134" customFormat="1" ht="15.75">
      <c r="A67" s="433">
        <v>21</v>
      </c>
      <c r="B67" s="45" t="s">
        <v>227</v>
      </c>
      <c r="C67" s="435">
        <v>30</v>
      </c>
      <c r="D67" s="164"/>
      <c r="E67" s="164"/>
      <c r="F67" s="112">
        <f t="shared" si="2"/>
        <v>30</v>
      </c>
      <c r="G67" s="122"/>
    </row>
    <row r="68" spans="1:7" s="134" customFormat="1" ht="15.75">
      <c r="A68" s="433">
        <v>77</v>
      </c>
      <c r="B68" s="45" t="s">
        <v>48</v>
      </c>
      <c r="C68" s="435">
        <v>0</v>
      </c>
      <c r="D68" s="164">
        <v>0</v>
      </c>
      <c r="E68" s="164">
        <v>0</v>
      </c>
      <c r="F68" s="112">
        <f t="shared" si="2"/>
        <v>0</v>
      </c>
      <c r="G68" s="122"/>
    </row>
    <row r="69" spans="1:7" s="134" customFormat="1" ht="15.75">
      <c r="A69" s="433">
        <v>50</v>
      </c>
      <c r="B69" s="45" t="s">
        <v>346</v>
      </c>
      <c r="C69" s="435">
        <f>30+30</f>
        <v>60</v>
      </c>
      <c r="D69" s="184"/>
      <c r="E69" s="184"/>
      <c r="F69" s="112">
        <f t="shared" si="2"/>
        <v>60</v>
      </c>
      <c r="G69" s="122"/>
    </row>
    <row r="70" spans="1:6" ht="16.5" thickBot="1">
      <c r="A70" s="38">
        <v>29</v>
      </c>
      <c r="B70" s="51" t="s">
        <v>50</v>
      </c>
      <c r="C70" s="436">
        <v>50</v>
      </c>
      <c r="D70" s="182">
        <v>0</v>
      </c>
      <c r="E70" s="182">
        <v>0</v>
      </c>
      <c r="F70" s="179">
        <f t="shared" si="2"/>
        <v>50</v>
      </c>
    </row>
    <row r="71" spans="1:10" ht="17.25" thickBot="1" thickTop="1">
      <c r="A71" s="406"/>
      <c r="B71" s="47" t="s">
        <v>7</v>
      </c>
      <c r="C71" s="143">
        <f>SUM(C65:C70)</f>
        <v>450</v>
      </c>
      <c r="D71" s="143">
        <f>SUM(D65:D70)</f>
        <v>0</v>
      </c>
      <c r="E71" s="143">
        <f>SUM(E65:E70)</f>
        <v>0</v>
      </c>
      <c r="F71" s="180">
        <f t="shared" si="2"/>
        <v>450</v>
      </c>
      <c r="H71" s="127"/>
      <c r="I71" s="127"/>
      <c r="J71" s="127"/>
    </row>
    <row r="72" spans="1:6" ht="17.25" hidden="1" thickBot="1" thickTop="1">
      <c r="A72" s="744"/>
      <c r="B72" s="745"/>
      <c r="C72" s="745"/>
      <c r="D72" s="745"/>
      <c r="E72" s="745"/>
      <c r="F72" s="745"/>
    </row>
    <row r="73" spans="1:6" ht="16.5" hidden="1" thickTop="1">
      <c r="A73" s="29"/>
      <c r="B73" s="30"/>
      <c r="C73" s="283"/>
      <c r="D73" s="181"/>
      <c r="E73" s="181"/>
      <c r="F73" s="174"/>
    </row>
    <row r="74" spans="1:6" ht="15.75" hidden="1">
      <c r="A74" s="36"/>
      <c r="B74" s="37"/>
      <c r="C74" s="282"/>
      <c r="D74" s="164"/>
      <c r="E74" s="164"/>
      <c r="F74" s="175"/>
    </row>
    <row r="75" spans="1:6" ht="15.75" hidden="1">
      <c r="A75" s="36"/>
      <c r="B75" s="37"/>
      <c r="C75" s="13"/>
      <c r="D75" s="164"/>
      <c r="E75" s="164"/>
      <c r="F75" s="175"/>
    </row>
    <row r="76" spans="1:6" ht="15.75" hidden="1">
      <c r="A76" s="29"/>
      <c r="B76" s="30"/>
      <c r="C76" s="15"/>
      <c r="D76" s="288"/>
      <c r="E76" s="164"/>
      <c r="F76" s="174"/>
    </row>
    <row r="77" spans="1:6" ht="15.75" hidden="1">
      <c r="A77" s="53"/>
      <c r="B77" s="37"/>
      <c r="C77" s="13"/>
      <c r="D77" s="164"/>
      <c r="E77" s="164"/>
      <c r="F77" s="175"/>
    </row>
    <row r="78" spans="1:6" ht="16.5" hidden="1" thickBot="1">
      <c r="A78" s="54"/>
      <c r="B78" s="46"/>
      <c r="C78" s="20"/>
      <c r="D78" s="164"/>
      <c r="E78" s="164"/>
      <c r="F78" s="185"/>
    </row>
    <row r="79" spans="1:10" ht="17.25" hidden="1" thickBot="1" thickTop="1">
      <c r="A79" s="31"/>
      <c r="B79" s="32"/>
      <c r="C79" s="136"/>
      <c r="D79" s="172"/>
      <c r="E79" s="172"/>
      <c r="F79" s="86"/>
      <c r="H79" s="127"/>
      <c r="I79" s="127"/>
      <c r="J79" s="127"/>
    </row>
    <row r="80" spans="1:6" ht="17.25" hidden="1" thickBot="1" thickTop="1">
      <c r="A80" s="744"/>
      <c r="B80" s="745"/>
      <c r="C80" s="745"/>
      <c r="D80" s="745"/>
      <c r="E80" s="745"/>
      <c r="F80" s="745"/>
    </row>
    <row r="81" spans="1:6" ht="16.5" hidden="1" thickTop="1">
      <c r="A81" s="33"/>
      <c r="B81" s="48"/>
      <c r="C81" s="284"/>
      <c r="D81" s="181"/>
      <c r="E81" s="181"/>
      <c r="F81" s="168"/>
    </row>
    <row r="82" spans="1:6" ht="15.75" hidden="1">
      <c r="A82" s="36"/>
      <c r="B82" s="49"/>
      <c r="C82" s="282"/>
      <c r="D82" s="163"/>
      <c r="E82" s="163"/>
      <c r="F82" s="175"/>
    </row>
    <row r="83" spans="1:6" ht="15.75" hidden="1">
      <c r="A83" s="36"/>
      <c r="B83" s="49"/>
      <c r="C83" s="282"/>
      <c r="D83" s="164"/>
      <c r="E83" s="164"/>
      <c r="F83" s="175"/>
    </row>
    <row r="84" spans="1:6" ht="15.75" hidden="1">
      <c r="A84" s="44"/>
      <c r="B84" s="37"/>
      <c r="C84" s="13"/>
      <c r="D84" s="288"/>
      <c r="E84" s="288"/>
      <c r="F84" s="175"/>
    </row>
    <row r="85" spans="1:6" ht="16.5" hidden="1" thickBot="1">
      <c r="A85" s="44"/>
      <c r="B85" s="55"/>
      <c r="C85" s="20"/>
      <c r="D85" s="182"/>
      <c r="E85" s="184"/>
      <c r="F85" s="185"/>
    </row>
    <row r="86" spans="1:10" ht="17.25" hidden="1" thickBot="1" thickTop="1">
      <c r="A86" s="31"/>
      <c r="B86" s="28"/>
      <c r="C86" s="136"/>
      <c r="D86" s="172"/>
      <c r="E86" s="172"/>
      <c r="F86" s="86"/>
      <c r="H86" s="127"/>
      <c r="J86" s="127"/>
    </row>
    <row r="87" spans="1:6" ht="17.25" customHeight="1" hidden="1" thickBot="1" thickTop="1">
      <c r="A87" s="744"/>
      <c r="B87" s="745"/>
      <c r="C87" s="745"/>
      <c r="D87" s="745"/>
      <c r="E87" s="745"/>
      <c r="F87" s="745"/>
    </row>
    <row r="88" spans="1:6" ht="16.5" hidden="1" thickTop="1">
      <c r="A88" s="21"/>
      <c r="B88" s="34"/>
      <c r="C88" s="13"/>
      <c r="D88" s="181"/>
      <c r="E88" s="181"/>
      <c r="F88" s="175"/>
    </row>
    <row r="89" spans="1:6" ht="15.75" hidden="1">
      <c r="A89" s="36"/>
      <c r="B89" s="37"/>
      <c r="C89" s="13"/>
      <c r="D89" s="173"/>
      <c r="E89" s="173"/>
      <c r="F89" s="175"/>
    </row>
    <row r="90" spans="1:6" ht="15.75" hidden="1">
      <c r="A90" s="36"/>
      <c r="B90" s="37"/>
      <c r="C90" s="123"/>
      <c r="D90" s="287"/>
      <c r="E90" s="287"/>
      <c r="F90" s="175"/>
    </row>
    <row r="91" spans="1:6" ht="15.75" hidden="1">
      <c r="A91" s="36"/>
      <c r="B91" s="37"/>
      <c r="C91" s="13"/>
      <c r="D91" s="288"/>
      <c r="E91" s="288"/>
      <c r="F91" s="175"/>
    </row>
    <row r="92" spans="1:6" ht="16.5" hidden="1" thickBot="1">
      <c r="A92" s="54"/>
      <c r="B92" s="46"/>
      <c r="C92" s="59"/>
      <c r="D92" s="182"/>
      <c r="E92" s="182"/>
      <c r="F92" s="183"/>
    </row>
    <row r="93" spans="1:14" ht="17.25" hidden="1" thickBot="1" thickTop="1">
      <c r="A93" s="31"/>
      <c r="B93" s="32"/>
      <c r="C93" s="136"/>
      <c r="D93" s="172"/>
      <c r="E93" s="172"/>
      <c r="F93" s="86"/>
      <c r="H93" s="127"/>
      <c r="J93" s="127"/>
      <c r="M93" s="127"/>
      <c r="N93" s="127"/>
    </row>
    <row r="94" spans="1:6" ht="17.25" hidden="1" thickBot="1" thickTop="1">
      <c r="A94" s="744"/>
      <c r="B94" s="745"/>
      <c r="C94" s="745"/>
      <c r="D94" s="745"/>
      <c r="E94" s="745"/>
      <c r="F94" s="745"/>
    </row>
    <row r="95" spans="1:13" ht="16.5" hidden="1" thickTop="1">
      <c r="A95" s="36"/>
      <c r="B95" s="49"/>
      <c r="C95" s="13"/>
      <c r="D95" s="286"/>
      <c r="E95" s="286"/>
      <c r="F95" s="175"/>
      <c r="H95" s="127"/>
      <c r="I95" s="127"/>
      <c r="J95" s="127"/>
      <c r="K95" s="127"/>
      <c r="L95" s="127"/>
      <c r="M95" s="127"/>
    </row>
    <row r="96" spans="1:6" ht="15.75" hidden="1">
      <c r="A96" s="29"/>
      <c r="B96" s="56"/>
      <c r="C96" s="15"/>
      <c r="D96" s="287"/>
      <c r="E96" s="287"/>
      <c r="F96" s="174"/>
    </row>
    <row r="97" spans="1:6" ht="15.75" hidden="1">
      <c r="A97" s="36"/>
      <c r="B97" s="49"/>
      <c r="C97" s="13"/>
      <c r="D97" s="288"/>
      <c r="E97" s="288"/>
      <c r="F97" s="175"/>
    </row>
    <row r="98" spans="1:12" ht="16.5" hidden="1" thickBot="1">
      <c r="A98" s="38"/>
      <c r="B98" s="51"/>
      <c r="C98" s="59"/>
      <c r="D98" s="182"/>
      <c r="E98" s="182"/>
      <c r="F98" s="183"/>
      <c r="H98" s="127"/>
      <c r="L98" s="127"/>
    </row>
    <row r="99" spans="1:12" ht="17.25" hidden="1" thickBot="1" thickTop="1">
      <c r="A99" s="39"/>
      <c r="B99" s="52"/>
      <c r="C99" s="141"/>
      <c r="D99" s="172"/>
      <c r="E99" s="176"/>
      <c r="F99" s="178"/>
      <c r="H99" s="127"/>
      <c r="I99" s="127"/>
      <c r="J99" s="127"/>
      <c r="K99" s="127"/>
      <c r="L99" s="127"/>
    </row>
    <row r="100" spans="1:6" ht="17.25" hidden="1" thickBot="1" thickTop="1">
      <c r="A100" s="744"/>
      <c r="B100" s="745"/>
      <c r="C100" s="745"/>
      <c r="D100" s="745"/>
      <c r="E100" s="745"/>
      <c r="F100" s="745"/>
    </row>
    <row r="101" spans="1:6" ht="16.5" hidden="1" thickTop="1">
      <c r="A101" s="33"/>
      <c r="B101" s="34"/>
      <c r="C101" s="24"/>
      <c r="D101" s="181"/>
      <c r="E101" s="181"/>
      <c r="F101" s="168"/>
    </row>
    <row r="102" spans="1:6" ht="15.75" hidden="1">
      <c r="A102" s="36"/>
      <c r="B102" s="37"/>
      <c r="C102" s="13"/>
      <c r="D102" s="173"/>
      <c r="E102" s="173"/>
      <c r="F102" s="175"/>
    </row>
    <row r="103" spans="1:6" ht="15.75" hidden="1">
      <c r="A103" s="36"/>
      <c r="B103" s="37"/>
      <c r="C103" s="13"/>
      <c r="D103" s="173"/>
      <c r="E103" s="173"/>
      <c r="F103" s="175"/>
    </row>
    <row r="104" spans="1:6" ht="15.75" hidden="1">
      <c r="A104" s="36"/>
      <c r="B104" s="37"/>
      <c r="C104" s="13"/>
      <c r="D104" s="288"/>
      <c r="E104" s="173"/>
      <c r="F104" s="175"/>
    </row>
    <row r="105" spans="1:6" ht="16.5" hidden="1" thickBot="1">
      <c r="A105" s="44"/>
      <c r="B105" s="46"/>
      <c r="C105" s="59"/>
      <c r="D105" s="182"/>
      <c r="E105" s="182"/>
      <c r="F105" s="183"/>
    </row>
    <row r="106" spans="1:14" ht="17.25" hidden="1" thickBot="1" thickTop="1">
      <c r="A106" s="31"/>
      <c r="B106" s="32"/>
      <c r="C106" s="145"/>
      <c r="D106" s="172"/>
      <c r="E106" s="172"/>
      <c r="F106" s="86"/>
      <c r="H106" s="127"/>
      <c r="I106" s="127"/>
      <c r="J106" s="127"/>
      <c r="M106" s="127"/>
      <c r="N106" s="127"/>
    </row>
    <row r="107" spans="1:6" ht="17.25" hidden="1" thickBot="1" thickTop="1">
      <c r="A107" s="744"/>
      <c r="B107" s="745"/>
      <c r="C107" s="745"/>
      <c r="D107" s="745"/>
      <c r="E107" s="745"/>
      <c r="F107" s="745"/>
    </row>
    <row r="108" spans="1:6" ht="16.5" hidden="1" thickTop="1">
      <c r="A108" s="36"/>
      <c r="B108" s="49"/>
      <c r="C108" s="13"/>
      <c r="D108" s="181"/>
      <c r="E108" s="181"/>
      <c r="F108" s="175"/>
    </row>
    <row r="109" spans="1:6" ht="15.75" hidden="1">
      <c r="A109" s="29"/>
      <c r="B109" s="56"/>
      <c r="C109" s="124"/>
      <c r="D109" s="173"/>
      <c r="E109" s="287"/>
      <c r="F109" s="174"/>
    </row>
    <row r="110" spans="1:6" ht="15.75" hidden="1">
      <c r="A110" s="44"/>
      <c r="B110" s="49"/>
      <c r="C110" s="20"/>
      <c r="D110" s="288"/>
      <c r="E110" s="288"/>
      <c r="F110" s="175"/>
    </row>
    <row r="111" spans="1:6" ht="15.75" hidden="1">
      <c r="A111" s="36"/>
      <c r="B111" s="49"/>
      <c r="C111" s="13"/>
      <c r="D111" s="164"/>
      <c r="E111" s="173"/>
      <c r="F111" s="174"/>
    </row>
    <row r="112" spans="1:6" ht="16.5" hidden="1" thickBot="1">
      <c r="A112" s="59"/>
      <c r="B112" s="60"/>
      <c r="C112" s="59"/>
      <c r="D112" s="182"/>
      <c r="E112" s="186"/>
      <c r="F112" s="187"/>
    </row>
    <row r="113" spans="1:14" ht="17.25" hidden="1" thickBot="1" thickTop="1">
      <c r="A113" s="31"/>
      <c r="B113" s="28"/>
      <c r="C113" s="136"/>
      <c r="D113" s="172"/>
      <c r="E113" s="172"/>
      <c r="F113" s="86"/>
      <c r="H113" s="127"/>
      <c r="I113" s="127"/>
      <c r="J113" s="127"/>
      <c r="M113" s="127"/>
      <c r="N113" s="127"/>
    </row>
    <row r="114" spans="1:14" ht="17.25" hidden="1" thickBot="1" thickTop="1">
      <c r="A114" s="744"/>
      <c r="B114" s="745"/>
      <c r="C114" s="745"/>
      <c r="D114" s="745"/>
      <c r="E114" s="745"/>
      <c r="F114" s="745"/>
      <c r="H114" s="127"/>
      <c r="I114" s="127"/>
      <c r="J114" s="127"/>
      <c r="M114" s="127"/>
      <c r="N114" s="127"/>
    </row>
    <row r="115" spans="1:14" ht="16.5" hidden="1" thickTop="1">
      <c r="A115" s="33"/>
      <c r="B115" s="34"/>
      <c r="C115" s="24"/>
      <c r="D115" s="181"/>
      <c r="E115" s="181"/>
      <c r="F115" s="168"/>
      <c r="H115" s="127"/>
      <c r="I115" s="127"/>
      <c r="J115" s="127"/>
      <c r="M115" s="127"/>
      <c r="N115" s="127"/>
    </row>
    <row r="116" spans="1:14" ht="15.75" hidden="1">
      <c r="A116" s="29"/>
      <c r="B116" s="57"/>
      <c r="C116" s="68"/>
      <c r="D116" s="204"/>
      <c r="E116" s="204"/>
      <c r="F116" s="203"/>
      <c r="H116" s="127"/>
      <c r="I116" s="127"/>
      <c r="J116" s="127"/>
      <c r="M116" s="127"/>
      <c r="N116" s="127"/>
    </row>
    <row r="117" spans="1:14" ht="15.75" hidden="1">
      <c r="A117" s="36"/>
      <c r="B117" s="37"/>
      <c r="C117" s="13"/>
      <c r="D117" s="173"/>
      <c r="E117" s="173"/>
      <c r="F117" s="175"/>
      <c r="H117" s="127"/>
      <c r="I117" s="127"/>
      <c r="J117" s="127"/>
      <c r="M117" s="127"/>
      <c r="N117" s="127"/>
    </row>
    <row r="118" spans="1:14" ht="15.75" hidden="1">
      <c r="A118" s="36"/>
      <c r="B118" s="37"/>
      <c r="C118" s="13"/>
      <c r="D118" s="171"/>
      <c r="E118" s="173"/>
      <c r="F118" s="175"/>
      <c r="H118" s="127"/>
      <c r="I118" s="127"/>
      <c r="J118" s="127"/>
      <c r="M118" s="127"/>
      <c r="N118" s="127"/>
    </row>
    <row r="119" spans="1:14" ht="16.5" hidden="1" thickBot="1">
      <c r="A119" s="44"/>
      <c r="B119" s="46"/>
      <c r="C119" s="59"/>
      <c r="D119" s="182"/>
      <c r="E119" s="182"/>
      <c r="F119" s="183"/>
      <c r="H119" s="127"/>
      <c r="I119" s="127"/>
      <c r="J119" s="127"/>
      <c r="M119" s="127"/>
      <c r="N119" s="127"/>
    </row>
    <row r="120" spans="1:14" ht="17.25" hidden="1" thickBot="1" thickTop="1">
      <c r="A120" s="31"/>
      <c r="B120" s="32"/>
      <c r="C120" s="145"/>
      <c r="D120" s="172"/>
      <c r="E120" s="172"/>
      <c r="F120" s="86"/>
      <c r="H120" s="127"/>
      <c r="I120" s="127"/>
      <c r="J120" s="127"/>
      <c r="M120" s="127"/>
      <c r="N120" s="127"/>
    </row>
    <row r="121" spans="1:10" ht="48" thickTop="1">
      <c r="A121" s="33"/>
      <c r="B121" s="22" t="s">
        <v>300</v>
      </c>
      <c r="C121" s="166">
        <f>C113+C106+C99+C93+C86+C79+C71+C63+C57+C54+C46+C40+C34+C120</f>
        <v>5274</v>
      </c>
      <c r="D121" s="167">
        <f>D113+D106+D99+D93+D86+D79+D71+D63+D57+D54+D46+D40+D34+D120</f>
        <v>3221</v>
      </c>
      <c r="E121" s="167">
        <f>E113+E106+E99+E93+E86+E79+E71+E63+E57+E54+E46+E40+E34+E120</f>
        <v>206</v>
      </c>
      <c r="F121" s="168">
        <f>F113+F106+F99+F93+F86+F79+F71+F63+F57+F54+F46+F40+F34+F120</f>
        <v>8701</v>
      </c>
      <c r="H121" s="127"/>
      <c r="I121" s="127"/>
      <c r="J121" s="127"/>
    </row>
    <row r="122" spans="1:10" ht="32.25" thickBot="1">
      <c r="A122" s="27"/>
      <c r="B122" s="154" t="s">
        <v>168</v>
      </c>
      <c r="C122" s="199">
        <f>C35+C41</f>
        <v>1375</v>
      </c>
      <c r="D122" s="200">
        <f>D35+D41</f>
        <v>10</v>
      </c>
      <c r="E122" s="200">
        <f>E35+E41</f>
        <v>0</v>
      </c>
      <c r="F122" s="201">
        <f>C122+D122+E122</f>
        <v>1385</v>
      </c>
      <c r="H122" s="127"/>
      <c r="I122" s="127"/>
      <c r="J122" s="127"/>
    </row>
    <row r="123" spans="1:6" ht="17.25" thickBot="1" thickTop="1">
      <c r="A123" s="744" t="s">
        <v>246</v>
      </c>
      <c r="B123" s="745"/>
      <c r="C123" s="745"/>
      <c r="D123" s="745"/>
      <c r="E123" s="745"/>
      <c r="F123" s="745"/>
    </row>
    <row r="124" spans="1:8" ht="27" customHeight="1" thickTop="1">
      <c r="A124" s="1">
        <v>8</v>
      </c>
      <c r="B124" s="2" t="s">
        <v>57</v>
      </c>
      <c r="C124" s="188">
        <v>15</v>
      </c>
      <c r="D124" s="164">
        <v>0</v>
      </c>
      <c r="E124" s="186">
        <v>0</v>
      </c>
      <c r="F124" s="187">
        <f>C124+D124+E124</f>
        <v>15</v>
      </c>
      <c r="H124" s="127"/>
    </row>
    <row r="125" spans="1:8" ht="16.5" thickBot="1">
      <c r="A125" s="38"/>
      <c r="B125" s="61" t="s">
        <v>59</v>
      </c>
      <c r="C125" s="189">
        <f>C124</f>
        <v>15</v>
      </c>
      <c r="D125" s="190">
        <f>D124</f>
        <v>0</v>
      </c>
      <c r="E125" s="190">
        <f>E124</f>
        <v>0</v>
      </c>
      <c r="F125" s="179">
        <f>F124</f>
        <v>15</v>
      </c>
      <c r="H125" s="127"/>
    </row>
    <row r="126" spans="1:6" ht="17.25" thickBot="1" thickTop="1">
      <c r="A126" s="744" t="s">
        <v>362</v>
      </c>
      <c r="B126" s="745"/>
      <c r="C126" s="745"/>
      <c r="D126" s="745"/>
      <c r="E126" s="745"/>
      <c r="F126" s="745"/>
    </row>
    <row r="127" spans="1:6" ht="31.5" customHeight="1" thickTop="1">
      <c r="A127" s="8">
        <v>8</v>
      </c>
      <c r="B127" s="2" t="s">
        <v>57</v>
      </c>
      <c r="C127" s="188">
        <v>8</v>
      </c>
      <c r="D127" s="164">
        <v>0</v>
      </c>
      <c r="E127" s="186">
        <v>0</v>
      </c>
      <c r="F127" s="187">
        <f>C127+D127+E127</f>
        <v>8</v>
      </c>
    </row>
    <row r="128" spans="1:6" ht="16.5" thickBot="1">
      <c r="A128" s="38"/>
      <c r="B128" s="61" t="s">
        <v>7</v>
      </c>
      <c r="C128" s="189">
        <f>C127</f>
        <v>8</v>
      </c>
      <c r="D128" s="190">
        <f>D127</f>
        <v>0</v>
      </c>
      <c r="E128" s="190">
        <f>E127</f>
        <v>0</v>
      </c>
      <c r="F128" s="179">
        <f>F127</f>
        <v>8</v>
      </c>
    </row>
    <row r="129" spans="1:6" ht="33.75" customHeight="1" thickBot="1" thickTop="1">
      <c r="A129" s="744" t="s">
        <v>360</v>
      </c>
      <c r="B129" s="745"/>
      <c r="C129" s="745"/>
      <c r="D129" s="745"/>
      <c r="E129" s="745"/>
      <c r="F129" s="745"/>
    </row>
    <row r="130" spans="1:6" ht="16.5" thickTop="1">
      <c r="A130" s="8">
        <v>52</v>
      </c>
      <c r="B130" s="2" t="s">
        <v>2</v>
      </c>
      <c r="C130" s="188">
        <v>6</v>
      </c>
      <c r="D130" s="164">
        <v>0</v>
      </c>
      <c r="E130" s="186">
        <v>0</v>
      </c>
      <c r="F130" s="187">
        <f>C130+D130+E130</f>
        <v>6</v>
      </c>
    </row>
    <row r="131" spans="1:6" ht="16.5" thickBot="1">
      <c r="A131" s="38"/>
      <c r="B131" s="61" t="s">
        <v>7</v>
      </c>
      <c r="C131" s="189">
        <f>C130</f>
        <v>6</v>
      </c>
      <c r="D131" s="190">
        <f>D130</f>
        <v>0</v>
      </c>
      <c r="E131" s="190">
        <f>E130</f>
        <v>0</v>
      </c>
      <c r="F131" s="179">
        <f>F130</f>
        <v>6</v>
      </c>
    </row>
    <row r="132" spans="1:6" ht="17.25" hidden="1" thickBot="1" thickTop="1">
      <c r="A132" s="752" t="s">
        <v>514</v>
      </c>
      <c r="B132" s="753"/>
      <c r="C132" s="753"/>
      <c r="D132" s="753"/>
      <c r="E132" s="753"/>
      <c r="F132" s="753"/>
    </row>
    <row r="133" spans="1:6" ht="16.5" hidden="1" thickTop="1">
      <c r="A133" s="619">
        <v>50</v>
      </c>
      <c r="B133" s="620" t="s">
        <v>346</v>
      </c>
      <c r="C133" s="621">
        <v>0</v>
      </c>
      <c r="D133" s="622">
        <v>0</v>
      </c>
      <c r="E133" s="623">
        <v>0</v>
      </c>
      <c r="F133" s="624">
        <f>C133+D133+E133</f>
        <v>0</v>
      </c>
    </row>
    <row r="134" spans="1:6" ht="16.5" hidden="1" thickBot="1">
      <c r="A134" s="625"/>
      <c r="B134" s="626" t="s">
        <v>7</v>
      </c>
      <c r="C134" s="627">
        <f>C133</f>
        <v>0</v>
      </c>
      <c r="D134" s="628">
        <f>D133</f>
        <v>0</v>
      </c>
      <c r="E134" s="628">
        <f>E133</f>
        <v>0</v>
      </c>
      <c r="F134" s="629">
        <f>F133</f>
        <v>0</v>
      </c>
    </row>
    <row r="135" spans="1:6" ht="32.25" thickTop="1">
      <c r="A135" s="191"/>
      <c r="B135" s="192" t="s">
        <v>181</v>
      </c>
      <c r="C135" s="214">
        <f>C134+C131+C128+C125</f>
        <v>29</v>
      </c>
      <c r="D135" s="194">
        <f>D134+D131+D128+D125</f>
        <v>0</v>
      </c>
      <c r="E135" s="194">
        <f>E134+E131+E128+E125</f>
        <v>0</v>
      </c>
      <c r="F135" s="213">
        <f>C135+D135+E135</f>
        <v>29</v>
      </c>
    </row>
    <row r="136" spans="1:6" ht="15.75">
      <c r="A136" s="215"/>
      <c r="B136" s="208" t="s">
        <v>182</v>
      </c>
      <c r="C136" s="209">
        <f>C124+C127</f>
        <v>23</v>
      </c>
      <c r="D136" s="210">
        <f>D124+D127</f>
        <v>0</v>
      </c>
      <c r="E136" s="210">
        <f>E124+E127</f>
        <v>0</v>
      </c>
      <c r="F136" s="211">
        <f>F124+F127</f>
        <v>23</v>
      </c>
    </row>
    <row r="137" spans="1:6" ht="31.5">
      <c r="A137" s="27"/>
      <c r="B137" s="208" t="s">
        <v>168</v>
      </c>
      <c r="C137" s="209">
        <v>0</v>
      </c>
      <c r="D137" s="210">
        <v>0</v>
      </c>
      <c r="E137" s="210">
        <v>0</v>
      </c>
      <c r="F137" s="211">
        <f>C137+D137+E137</f>
        <v>0</v>
      </c>
    </row>
    <row r="138" spans="1:6" ht="16.5" thickBot="1">
      <c r="A138" s="27"/>
      <c r="B138" s="208" t="s">
        <v>173</v>
      </c>
      <c r="C138" s="209">
        <f>C18+C19+C62</f>
        <v>0</v>
      </c>
      <c r="D138" s="210">
        <f>D18+D19+D62</f>
        <v>50</v>
      </c>
      <c r="E138" s="210">
        <f>E18+E19+E62</f>
        <v>0</v>
      </c>
      <c r="F138" s="211">
        <f>F18+F19+F62</f>
        <v>50</v>
      </c>
    </row>
    <row r="139" spans="1:6" ht="33" customHeight="1" thickBot="1" thickTop="1">
      <c r="A139" s="744" t="s">
        <v>515</v>
      </c>
      <c r="B139" s="745"/>
      <c r="C139" s="745"/>
      <c r="D139" s="745"/>
      <c r="E139" s="745"/>
      <c r="F139" s="745"/>
    </row>
    <row r="140" spans="1:6" ht="79.5" thickTop="1">
      <c r="A140" s="33"/>
      <c r="B140" s="205" t="s">
        <v>184</v>
      </c>
      <c r="C140" s="597">
        <v>458</v>
      </c>
      <c r="D140" s="206">
        <v>0</v>
      </c>
      <c r="E140" s="207">
        <v>0</v>
      </c>
      <c r="F140" s="586">
        <f>C140+D140+E140</f>
        <v>458</v>
      </c>
    </row>
    <row r="141" spans="1:6" ht="15.75">
      <c r="A141" s="215"/>
      <c r="B141" s="208" t="s">
        <v>182</v>
      </c>
      <c r="C141" s="384">
        <v>66</v>
      </c>
      <c r="D141" s="210">
        <v>0</v>
      </c>
      <c r="E141" s="210">
        <v>0</v>
      </c>
      <c r="F141" s="211">
        <f aca="true" t="shared" si="3" ref="F141:F146">C141+D141+E141</f>
        <v>66</v>
      </c>
    </row>
    <row r="142" spans="1:6" ht="31.5">
      <c r="A142" s="53"/>
      <c r="B142" s="208" t="s">
        <v>168</v>
      </c>
      <c r="C142" s="384">
        <v>28</v>
      </c>
      <c r="D142" s="210">
        <v>0</v>
      </c>
      <c r="E142" s="210">
        <v>0</v>
      </c>
      <c r="F142" s="211">
        <f t="shared" si="3"/>
        <v>28</v>
      </c>
    </row>
    <row r="143" spans="1:6" ht="16.5" thickBot="1">
      <c r="A143" s="27"/>
      <c r="B143" s="208" t="s">
        <v>173</v>
      </c>
      <c r="C143" s="384">
        <v>10</v>
      </c>
      <c r="D143" s="210">
        <v>0</v>
      </c>
      <c r="E143" s="210">
        <v>0</v>
      </c>
      <c r="F143" s="211">
        <f t="shared" si="3"/>
        <v>10</v>
      </c>
    </row>
    <row r="144" spans="1:10" ht="58.5" customHeight="1" thickTop="1">
      <c r="A144" s="191"/>
      <c r="B144" s="212" t="s">
        <v>183</v>
      </c>
      <c r="C144" s="193">
        <f>C140+C135+C121</f>
        <v>5761</v>
      </c>
      <c r="D144" s="194">
        <f>D140+D135+D121</f>
        <v>3221</v>
      </c>
      <c r="E144" s="194">
        <f>E140+E135+E121</f>
        <v>206</v>
      </c>
      <c r="F144" s="213">
        <f>C144+D144+E144</f>
        <v>9188</v>
      </c>
      <c r="G144" s="195">
        <f>9128+350</f>
        <v>9478</v>
      </c>
      <c r="H144" s="195">
        <f>G144-F144</f>
        <v>290</v>
      </c>
      <c r="I144" s="127">
        <f>F34+F46+F54+F63+F71+F125+F128+F131+F140</f>
        <v>9188</v>
      </c>
      <c r="J144" s="127"/>
    </row>
    <row r="145" spans="1:10" ht="18" customHeight="1">
      <c r="A145" s="215"/>
      <c r="B145" s="208" t="s">
        <v>182</v>
      </c>
      <c r="C145" s="209">
        <f>C141+C136</f>
        <v>89</v>
      </c>
      <c r="D145" s="210">
        <f>D141+D136</f>
        <v>0</v>
      </c>
      <c r="E145" s="210">
        <f>E141+E136</f>
        <v>0</v>
      </c>
      <c r="F145" s="211">
        <f t="shared" si="3"/>
        <v>89</v>
      </c>
      <c r="G145" s="195">
        <v>89</v>
      </c>
      <c r="H145" s="195">
        <f>G145-F145</f>
        <v>0</v>
      </c>
      <c r="I145" s="127"/>
      <c r="J145" s="127"/>
    </row>
    <row r="146" spans="1:10" s="150" customFormat="1" ht="31.5">
      <c r="A146" s="53"/>
      <c r="B146" s="208" t="s">
        <v>168</v>
      </c>
      <c r="C146" s="209">
        <f>C137+C122+C142</f>
        <v>1403</v>
      </c>
      <c r="D146" s="210">
        <f>D137+D122+D142</f>
        <v>10</v>
      </c>
      <c r="E146" s="210">
        <f>E137+E122+E142</f>
        <v>0</v>
      </c>
      <c r="F146" s="211">
        <f t="shared" si="3"/>
        <v>1413</v>
      </c>
      <c r="G146" s="195">
        <v>1413</v>
      </c>
      <c r="H146" s="195">
        <f>G146-F146</f>
        <v>0</v>
      </c>
      <c r="J146" s="127"/>
    </row>
    <row r="147" spans="1:8" ht="15.75">
      <c r="A147" s="27"/>
      <c r="B147" s="208" t="s">
        <v>173</v>
      </c>
      <c r="C147" s="209">
        <f>C143+C138</f>
        <v>10</v>
      </c>
      <c r="D147" s="210">
        <f>D143+D138</f>
        <v>50</v>
      </c>
      <c r="E147" s="210">
        <f>E143+E138</f>
        <v>0</v>
      </c>
      <c r="F147" s="211">
        <f>F143+F138</f>
        <v>60</v>
      </c>
      <c r="G147" s="195">
        <v>350</v>
      </c>
      <c r="H147" s="195">
        <f>G147-F147</f>
        <v>290</v>
      </c>
    </row>
    <row r="148" spans="1:7" s="150" customFormat="1" ht="15.75">
      <c r="A148" s="64"/>
      <c r="B148" s="9" t="s">
        <v>61</v>
      </c>
      <c r="C148" s="164">
        <v>0</v>
      </c>
      <c r="D148" s="164">
        <v>0</v>
      </c>
      <c r="E148" s="164">
        <v>0</v>
      </c>
      <c r="F148" s="164">
        <v>0</v>
      </c>
      <c r="G148" s="64"/>
    </row>
    <row r="149" spans="1:8" ht="15.75">
      <c r="A149" s="66"/>
      <c r="B149" s="9" t="s">
        <v>228</v>
      </c>
      <c r="C149" s="164">
        <f>C10+C11+C48+C50+C124+C65+C127</f>
        <v>1243</v>
      </c>
      <c r="D149" s="164">
        <f>D10+D11+D48+D50+D124+D65+D127</f>
        <v>80</v>
      </c>
      <c r="E149" s="164">
        <f>E10+E11+E48+E50+E124+E65+E127</f>
        <v>0</v>
      </c>
      <c r="F149" s="164">
        <f>F10+F11+F48+F50+F124+F65+F127</f>
        <v>1323</v>
      </c>
      <c r="G149" s="64"/>
      <c r="H149" s="281">
        <f>SUM(C149:E149)-F149</f>
        <v>0</v>
      </c>
    </row>
    <row r="150" spans="1:8" ht="15.75">
      <c r="A150" s="66"/>
      <c r="B150" s="9" t="s">
        <v>15</v>
      </c>
      <c r="C150" s="164">
        <f>0</f>
        <v>0</v>
      </c>
      <c r="D150" s="164">
        <f>0</f>
        <v>0</v>
      </c>
      <c r="E150" s="164">
        <f>0</f>
        <v>0</v>
      </c>
      <c r="F150" s="164">
        <f>0</f>
        <v>0</v>
      </c>
      <c r="G150" s="64"/>
      <c r="H150" s="281">
        <f aca="true" t="shared" si="4" ref="H150:H175">SUM(C150:E150)-F150</f>
        <v>0</v>
      </c>
    </row>
    <row r="151" spans="1:8" ht="15.75">
      <c r="A151" s="66"/>
      <c r="B151" s="9" t="s">
        <v>16</v>
      </c>
      <c r="C151" s="164">
        <f>C12</f>
        <v>59</v>
      </c>
      <c r="D151" s="164">
        <f>D12</f>
        <v>0</v>
      </c>
      <c r="E151" s="164">
        <f>E12</f>
        <v>0</v>
      </c>
      <c r="F151" s="164">
        <f>F12</f>
        <v>59</v>
      </c>
      <c r="G151" s="64"/>
      <c r="H151" s="281">
        <f t="shared" si="4"/>
        <v>0</v>
      </c>
    </row>
    <row r="152" spans="1:8" ht="15.75">
      <c r="A152" s="67"/>
      <c r="B152" s="9" t="s">
        <v>83</v>
      </c>
      <c r="C152" s="164">
        <f>0</f>
        <v>0</v>
      </c>
      <c r="D152" s="164">
        <f>0</f>
        <v>0</v>
      </c>
      <c r="E152" s="164">
        <f>0</f>
        <v>0</v>
      </c>
      <c r="F152" s="164">
        <f>0</f>
        <v>0</v>
      </c>
      <c r="H152" s="281">
        <f t="shared" si="4"/>
        <v>0</v>
      </c>
    </row>
    <row r="153" spans="1:8" ht="15.75">
      <c r="A153" s="66"/>
      <c r="B153" s="9" t="s">
        <v>49</v>
      </c>
      <c r="C153" s="164">
        <f>C14+C15</f>
        <v>201</v>
      </c>
      <c r="D153" s="164">
        <f>D14+D15</f>
        <v>0</v>
      </c>
      <c r="E153" s="164">
        <f>E14+E15</f>
        <v>0</v>
      </c>
      <c r="F153" s="164">
        <f>F14+F15</f>
        <v>201</v>
      </c>
      <c r="H153" s="281">
        <f t="shared" si="4"/>
        <v>0</v>
      </c>
    </row>
    <row r="154" spans="1:8" ht="15.75">
      <c r="A154" s="67"/>
      <c r="B154" s="9" t="s">
        <v>28</v>
      </c>
      <c r="C154" s="164">
        <f aca="true" t="shared" si="5" ref="C154:F155">C16</f>
        <v>40</v>
      </c>
      <c r="D154" s="164">
        <f t="shared" si="5"/>
        <v>0</v>
      </c>
      <c r="E154" s="164">
        <f t="shared" si="5"/>
        <v>0</v>
      </c>
      <c r="F154" s="164">
        <f t="shared" si="5"/>
        <v>40</v>
      </c>
      <c r="H154" s="281">
        <f t="shared" si="4"/>
        <v>0</v>
      </c>
    </row>
    <row r="155" spans="1:8" ht="15.75">
      <c r="A155" s="151"/>
      <c r="B155" s="9" t="s">
        <v>17</v>
      </c>
      <c r="C155" s="164">
        <f t="shared" si="5"/>
        <v>70</v>
      </c>
      <c r="D155" s="164">
        <f t="shared" si="5"/>
        <v>0</v>
      </c>
      <c r="E155" s="164">
        <f t="shared" si="5"/>
        <v>0</v>
      </c>
      <c r="F155" s="164">
        <f t="shared" si="5"/>
        <v>70</v>
      </c>
      <c r="H155" s="281">
        <f t="shared" si="4"/>
        <v>0</v>
      </c>
    </row>
    <row r="156" spans="1:8" ht="15.75">
      <c r="A156" s="151"/>
      <c r="B156" s="9" t="s">
        <v>62</v>
      </c>
      <c r="C156" s="164">
        <f>C70</f>
        <v>50</v>
      </c>
      <c r="D156" s="164">
        <f>D70</f>
        <v>0</v>
      </c>
      <c r="E156" s="164">
        <f>E70</f>
        <v>0</v>
      </c>
      <c r="F156" s="164">
        <f>F70</f>
        <v>50</v>
      </c>
      <c r="H156" s="281">
        <f t="shared" si="4"/>
        <v>0</v>
      </c>
    </row>
    <row r="157" spans="1:8" ht="15.75">
      <c r="A157" s="151"/>
      <c r="B157" s="9" t="s">
        <v>70</v>
      </c>
      <c r="C157" s="164">
        <f>C18+C19+C62</f>
        <v>0</v>
      </c>
      <c r="D157" s="164">
        <f>D18+D19+D62</f>
        <v>50</v>
      </c>
      <c r="E157" s="164">
        <f>E18+E19+E62</f>
        <v>0</v>
      </c>
      <c r="F157" s="164">
        <f>F18+F19+F62</f>
        <v>50</v>
      </c>
      <c r="H157" s="281">
        <f t="shared" si="4"/>
        <v>0</v>
      </c>
    </row>
    <row r="158" spans="1:8" ht="15.75">
      <c r="A158" s="151"/>
      <c r="B158" s="9" t="s">
        <v>26</v>
      </c>
      <c r="C158" s="164">
        <f>C20+C43+C51</f>
        <v>264</v>
      </c>
      <c r="D158" s="164">
        <f>D20+D43+D51</f>
        <v>0</v>
      </c>
      <c r="E158" s="164">
        <f>E20+E43+E51</f>
        <v>0</v>
      </c>
      <c r="F158" s="164">
        <f>F20+F43+F51</f>
        <v>264</v>
      </c>
      <c r="H158" s="281">
        <f t="shared" si="4"/>
        <v>0</v>
      </c>
    </row>
    <row r="159" spans="1:8" ht="15.75">
      <c r="A159" s="151"/>
      <c r="B159" s="9" t="s">
        <v>37</v>
      </c>
      <c r="C159" s="164">
        <f>0</f>
        <v>0</v>
      </c>
      <c r="D159" s="164">
        <f>0</f>
        <v>0</v>
      </c>
      <c r="E159" s="164">
        <f>0</f>
        <v>0</v>
      </c>
      <c r="F159" s="164">
        <f>0</f>
        <v>0</v>
      </c>
      <c r="H159" s="281">
        <f t="shared" si="4"/>
        <v>0</v>
      </c>
    </row>
    <row r="160" spans="1:8" ht="15.75">
      <c r="A160" s="151"/>
      <c r="B160" s="9" t="s">
        <v>18</v>
      </c>
      <c r="C160" s="164">
        <f>C21</f>
        <v>143</v>
      </c>
      <c r="D160" s="164">
        <f>D21</f>
        <v>0</v>
      </c>
      <c r="E160" s="164">
        <f>E21</f>
        <v>0</v>
      </c>
      <c r="F160" s="164">
        <f>F21</f>
        <v>143</v>
      </c>
      <c r="H160" s="281">
        <f t="shared" si="4"/>
        <v>0</v>
      </c>
    </row>
    <row r="161" spans="1:8" ht="15.75">
      <c r="A161" s="151"/>
      <c r="B161" s="9" t="s">
        <v>65</v>
      </c>
      <c r="C161" s="164">
        <v>0</v>
      </c>
      <c r="D161" s="164">
        <v>0</v>
      </c>
      <c r="E161" s="164">
        <v>0</v>
      </c>
      <c r="F161" s="164">
        <v>0</v>
      </c>
      <c r="H161" s="281">
        <f t="shared" si="4"/>
        <v>0</v>
      </c>
    </row>
    <row r="162" spans="1:8" ht="15.75">
      <c r="A162" s="151"/>
      <c r="B162" s="9" t="s">
        <v>229</v>
      </c>
      <c r="C162" s="164">
        <f>C22+C23+C24</f>
        <v>1368</v>
      </c>
      <c r="D162" s="164">
        <f>D22+D23+D24</f>
        <v>10</v>
      </c>
      <c r="E162" s="164">
        <f>E22+E23+E24</f>
        <v>0</v>
      </c>
      <c r="F162" s="164">
        <f>F22+F23+F24</f>
        <v>1378</v>
      </c>
      <c r="H162" s="281">
        <f t="shared" si="4"/>
        <v>0</v>
      </c>
    </row>
    <row r="163" spans="1:8" ht="15.75">
      <c r="A163" s="151"/>
      <c r="B163" s="9" t="s">
        <v>346</v>
      </c>
      <c r="C163" s="164">
        <f>C25+C69+C133</f>
        <v>210</v>
      </c>
      <c r="D163" s="164">
        <f>D25+D69+D133</f>
        <v>0</v>
      </c>
      <c r="E163" s="164">
        <f>E25+E69+E133</f>
        <v>0</v>
      </c>
      <c r="F163" s="164">
        <f>F25+F69+F133</f>
        <v>210</v>
      </c>
      <c r="H163" s="281">
        <f t="shared" si="4"/>
        <v>0</v>
      </c>
    </row>
    <row r="164" spans="1:8" ht="15.75">
      <c r="A164" s="151"/>
      <c r="B164" s="9" t="s">
        <v>19</v>
      </c>
      <c r="C164" s="164">
        <f>C26+C130</f>
        <v>126</v>
      </c>
      <c r="D164" s="164">
        <f>D26+D130</f>
        <v>0</v>
      </c>
      <c r="E164" s="164">
        <f>E26+E130</f>
        <v>0</v>
      </c>
      <c r="F164" s="164">
        <f>F26+F130</f>
        <v>126</v>
      </c>
      <c r="H164" s="281">
        <f t="shared" si="4"/>
        <v>0</v>
      </c>
    </row>
    <row r="165" spans="1:8" ht="15.75">
      <c r="A165" s="152"/>
      <c r="B165" s="9" t="s">
        <v>24</v>
      </c>
      <c r="C165" s="164">
        <f>C27+C44+C52</f>
        <v>311</v>
      </c>
      <c r="D165" s="164">
        <f>D27+D44+D52</f>
        <v>30</v>
      </c>
      <c r="E165" s="164">
        <f>E27+E44+E52</f>
        <v>76</v>
      </c>
      <c r="F165" s="164">
        <f>F27+F44+F52</f>
        <v>417</v>
      </c>
      <c r="H165" s="281">
        <f t="shared" si="4"/>
        <v>0</v>
      </c>
    </row>
    <row r="166" spans="1:8" ht="15.75">
      <c r="A166" s="152"/>
      <c r="B166" s="9" t="s">
        <v>20</v>
      </c>
      <c r="C166" s="164">
        <v>0</v>
      </c>
      <c r="D166" s="164">
        <v>0</v>
      </c>
      <c r="E166" s="164">
        <v>0</v>
      </c>
      <c r="F166" s="164">
        <v>0</v>
      </c>
      <c r="H166" s="281">
        <f t="shared" si="4"/>
        <v>0</v>
      </c>
    </row>
    <row r="167" spans="1:8" ht="15.75">
      <c r="A167" s="152"/>
      <c r="B167" s="9" t="s">
        <v>51</v>
      </c>
      <c r="C167" s="164">
        <f aca="true" t="shared" si="6" ref="C167:F168">C28</f>
        <v>50</v>
      </c>
      <c r="D167" s="164">
        <f t="shared" si="6"/>
        <v>0</v>
      </c>
      <c r="E167" s="164">
        <f t="shared" si="6"/>
        <v>0</v>
      </c>
      <c r="F167" s="164">
        <f t="shared" si="6"/>
        <v>50</v>
      </c>
      <c r="H167" s="281">
        <f t="shared" si="4"/>
        <v>0</v>
      </c>
    </row>
    <row r="168" spans="1:8" ht="15.75">
      <c r="A168" s="152"/>
      <c r="B168" s="9" t="s">
        <v>27</v>
      </c>
      <c r="C168" s="164">
        <f t="shared" si="6"/>
        <v>48</v>
      </c>
      <c r="D168" s="164">
        <f t="shared" si="6"/>
        <v>0</v>
      </c>
      <c r="E168" s="164">
        <f t="shared" si="6"/>
        <v>0</v>
      </c>
      <c r="F168" s="164">
        <f t="shared" si="6"/>
        <v>48</v>
      </c>
      <c r="H168" s="281">
        <f t="shared" si="4"/>
        <v>0</v>
      </c>
    </row>
    <row r="169" spans="1:8" ht="15.75">
      <c r="A169" s="152"/>
      <c r="B169" s="9" t="s">
        <v>21</v>
      </c>
      <c r="C169" s="164">
        <f>C30+C59</f>
        <v>434</v>
      </c>
      <c r="D169" s="164">
        <f>D30+D59</f>
        <v>2676</v>
      </c>
      <c r="E169" s="164">
        <f>E30+E59</f>
        <v>130</v>
      </c>
      <c r="F169" s="164">
        <f>F30+F59</f>
        <v>3240</v>
      </c>
      <c r="H169" s="281">
        <f t="shared" si="4"/>
        <v>0</v>
      </c>
    </row>
    <row r="170" spans="1:8" ht="15.75">
      <c r="A170" s="152"/>
      <c r="B170" s="9" t="s">
        <v>66</v>
      </c>
      <c r="C170" s="164">
        <f>C31</f>
        <v>109</v>
      </c>
      <c r="D170" s="164">
        <f>D31</f>
        <v>0</v>
      </c>
      <c r="E170" s="164">
        <f>E31</f>
        <v>0</v>
      </c>
      <c r="F170" s="164">
        <f>F31</f>
        <v>109</v>
      </c>
      <c r="H170" s="281">
        <f t="shared" si="4"/>
        <v>0</v>
      </c>
    </row>
    <row r="171" spans="1:8" ht="15.75">
      <c r="A171" s="152"/>
      <c r="B171" s="9" t="s">
        <v>48</v>
      </c>
      <c r="C171" s="164">
        <f>C32+C68+C67</f>
        <v>140</v>
      </c>
      <c r="D171" s="164">
        <f>D32+D68+D67</f>
        <v>0</v>
      </c>
      <c r="E171" s="164">
        <f>E32+E68+E67</f>
        <v>0</v>
      </c>
      <c r="F171" s="164">
        <f>F32+F68+F67</f>
        <v>140</v>
      </c>
      <c r="H171" s="281">
        <f t="shared" si="4"/>
        <v>0</v>
      </c>
    </row>
    <row r="172" spans="1:8" ht="15.75">
      <c r="A172" s="152"/>
      <c r="B172" s="9" t="s">
        <v>29</v>
      </c>
      <c r="C172" s="164">
        <f>C33+C60+C66</f>
        <v>412</v>
      </c>
      <c r="D172" s="164">
        <f>D33+D60+D66</f>
        <v>315</v>
      </c>
      <c r="E172" s="164">
        <f>E33+E60+E66</f>
        <v>0</v>
      </c>
      <c r="F172" s="164">
        <f>F33+F60+F66</f>
        <v>727</v>
      </c>
      <c r="H172" s="281">
        <f t="shared" si="4"/>
        <v>0</v>
      </c>
    </row>
    <row r="173" spans="1:8" ht="15.75">
      <c r="A173" s="152"/>
      <c r="B173" s="9" t="s">
        <v>67</v>
      </c>
      <c r="C173" s="164">
        <v>0</v>
      </c>
      <c r="D173" s="164">
        <v>0</v>
      </c>
      <c r="E173" s="164">
        <v>0</v>
      </c>
      <c r="F173" s="164">
        <v>0</v>
      </c>
      <c r="H173" s="281">
        <f t="shared" si="4"/>
        <v>0</v>
      </c>
    </row>
    <row r="174" spans="1:8" ht="15.75">
      <c r="A174" s="152"/>
      <c r="B174" s="9" t="s">
        <v>39</v>
      </c>
      <c r="C174" s="164">
        <v>0</v>
      </c>
      <c r="D174" s="164">
        <v>0</v>
      </c>
      <c r="E174" s="164">
        <v>0</v>
      </c>
      <c r="F174" s="164">
        <v>0</v>
      </c>
      <c r="H174" s="281">
        <f t="shared" si="4"/>
        <v>0</v>
      </c>
    </row>
    <row r="175" spans="1:8" ht="15.75">
      <c r="A175" s="152"/>
      <c r="B175" s="9" t="s">
        <v>22</v>
      </c>
      <c r="C175" s="164">
        <f>C61+C45+C53</f>
        <v>25</v>
      </c>
      <c r="D175" s="164">
        <f>D61+D45+D53</f>
        <v>60</v>
      </c>
      <c r="E175" s="164">
        <f>E61+E45+E53</f>
        <v>0</v>
      </c>
      <c r="F175" s="164">
        <f>F61+F45+F53</f>
        <v>85</v>
      </c>
      <c r="H175" s="281">
        <f t="shared" si="4"/>
        <v>0</v>
      </c>
    </row>
    <row r="176" spans="1:8" ht="31.5">
      <c r="A176" s="152"/>
      <c r="B176" s="108" t="s">
        <v>230</v>
      </c>
      <c r="C176" s="198">
        <f>SUM(C148:C175)</f>
        <v>5303</v>
      </c>
      <c r="D176" s="198">
        <f>SUM(D148:D175)</f>
        <v>3221</v>
      </c>
      <c r="E176" s="198">
        <f>SUM(E148:E175)</f>
        <v>206</v>
      </c>
      <c r="F176" s="198">
        <f>SUM(F148:F175)</f>
        <v>8730</v>
      </c>
      <c r="G176" s="279"/>
      <c r="H176" s="279"/>
    </row>
    <row r="177" spans="1:8" ht="15.75">
      <c r="A177" s="152"/>
      <c r="B177" s="152"/>
      <c r="C177" s="389">
        <f>C144-C140</f>
        <v>5303</v>
      </c>
      <c r="D177" s="389">
        <f>D144-D140</f>
        <v>3221</v>
      </c>
      <c r="E177" s="389">
        <f>E144-E140</f>
        <v>206</v>
      </c>
      <c r="F177" s="389">
        <f>F144-F140</f>
        <v>8730</v>
      </c>
      <c r="G177" s="413">
        <f>F144-F140</f>
        <v>8730</v>
      </c>
      <c r="H177" s="413">
        <f>G177-F177</f>
        <v>0</v>
      </c>
    </row>
    <row r="178" spans="1:6" ht="15">
      <c r="A178" s="152"/>
      <c r="B178" s="152"/>
      <c r="C178" s="389">
        <f>C177-C176</f>
        <v>0</v>
      </c>
      <c r="D178" s="389">
        <f>D177-D176</f>
        <v>0</v>
      </c>
      <c r="E178" s="389">
        <f>E177-E176</f>
        <v>0</v>
      </c>
      <c r="F178" s="389">
        <f>F177-F176</f>
        <v>0</v>
      </c>
    </row>
    <row r="179" spans="1:6" ht="15.75">
      <c r="A179" s="152"/>
      <c r="B179" s="152"/>
      <c r="C179" s="152"/>
      <c r="D179" s="152"/>
      <c r="E179" s="152"/>
      <c r="F179" s="196"/>
    </row>
    <row r="180" spans="1:6" ht="15.75">
      <c r="A180" s="152"/>
      <c r="B180" s="152"/>
      <c r="C180" s="152"/>
      <c r="D180" s="152"/>
      <c r="E180" s="152"/>
      <c r="F180" s="196"/>
    </row>
    <row r="181" spans="1:6" ht="15.75">
      <c r="A181" s="152"/>
      <c r="B181" s="152"/>
      <c r="C181" s="152"/>
      <c r="D181" s="152"/>
      <c r="E181" s="152"/>
      <c r="F181" s="196"/>
    </row>
    <row r="182" spans="1:6" ht="15.75">
      <c r="A182" s="152"/>
      <c r="B182" s="152"/>
      <c r="C182" s="152"/>
      <c r="D182" s="152"/>
      <c r="E182" s="152"/>
      <c r="F182" s="196"/>
    </row>
    <row r="183" spans="1:6" ht="15.75">
      <c r="A183" s="152"/>
      <c r="B183" s="152"/>
      <c r="C183" s="152"/>
      <c r="D183" s="152"/>
      <c r="E183" s="152"/>
      <c r="F183" s="196"/>
    </row>
    <row r="184" spans="1:6" ht="15.75">
      <c r="A184" s="152"/>
      <c r="B184" s="152"/>
      <c r="C184" s="152"/>
      <c r="D184" s="152"/>
      <c r="E184" s="152"/>
      <c r="F184" s="196"/>
    </row>
    <row r="185" spans="1:6" ht="15.75">
      <c r="A185" s="152"/>
      <c r="B185" s="152"/>
      <c r="C185" s="152"/>
      <c r="D185" s="152"/>
      <c r="E185" s="152"/>
      <c r="F185" s="196"/>
    </row>
    <row r="186" spans="1:6" ht="15.75">
      <c r="A186" s="152"/>
      <c r="B186" s="152"/>
      <c r="C186" s="152"/>
      <c r="D186" s="152"/>
      <c r="E186" s="152"/>
      <c r="F186" s="196"/>
    </row>
    <row r="187" spans="1:6" ht="15.75">
      <c r="A187" s="152"/>
      <c r="B187" s="152"/>
      <c r="C187" s="152"/>
      <c r="D187" s="152"/>
      <c r="E187" s="152"/>
      <c r="F187" s="196"/>
    </row>
    <row r="188" spans="1:6" ht="15.75">
      <c r="A188" s="152"/>
      <c r="B188" s="152"/>
      <c r="C188" s="152"/>
      <c r="D188" s="152"/>
      <c r="E188" s="152"/>
      <c r="F188" s="196"/>
    </row>
    <row r="189" spans="1:6" ht="15.75">
      <c r="A189" s="152"/>
      <c r="B189" s="152"/>
      <c r="C189" s="152"/>
      <c r="D189" s="152"/>
      <c r="E189" s="152"/>
      <c r="F189" s="196"/>
    </row>
    <row r="190" spans="1:6" ht="15.75">
      <c r="A190" s="152"/>
      <c r="B190" s="152"/>
      <c r="C190" s="152"/>
      <c r="D190" s="152"/>
      <c r="E190" s="152"/>
      <c r="F190" s="196"/>
    </row>
    <row r="191" spans="1:6" ht="15.75">
      <c r="A191" s="152"/>
      <c r="B191" s="152"/>
      <c r="C191" s="152"/>
      <c r="D191" s="152"/>
      <c r="E191" s="152"/>
      <c r="F191" s="196"/>
    </row>
    <row r="192" spans="1:6" ht="15.75">
      <c r="A192" s="152"/>
      <c r="B192" s="152"/>
      <c r="C192" s="152"/>
      <c r="D192" s="152"/>
      <c r="E192" s="152"/>
      <c r="F192" s="196"/>
    </row>
    <row r="193" spans="1:6" ht="15.75">
      <c r="A193" s="152"/>
      <c r="B193" s="152"/>
      <c r="C193" s="152"/>
      <c r="D193" s="152"/>
      <c r="E193" s="152"/>
      <c r="F193" s="196"/>
    </row>
    <row r="194" spans="1:6" ht="15.75">
      <c r="A194" s="152"/>
      <c r="B194" s="152"/>
      <c r="C194" s="152"/>
      <c r="D194" s="152"/>
      <c r="E194" s="152"/>
      <c r="F194" s="196"/>
    </row>
    <row r="195" spans="1:6" ht="15.75">
      <c r="A195" s="152"/>
      <c r="B195" s="152"/>
      <c r="C195" s="152"/>
      <c r="D195" s="152"/>
      <c r="E195" s="152"/>
      <c r="F195" s="196"/>
    </row>
    <row r="196" spans="1:6" ht="15.75">
      <c r="A196" s="152"/>
      <c r="B196" s="152"/>
      <c r="C196" s="152"/>
      <c r="D196" s="152"/>
      <c r="E196" s="152"/>
      <c r="F196" s="196"/>
    </row>
    <row r="197" spans="1:6" ht="15.75">
      <c r="A197" s="152"/>
      <c r="B197" s="152"/>
      <c r="C197" s="152"/>
      <c r="D197" s="152"/>
      <c r="E197" s="152"/>
      <c r="F197" s="196"/>
    </row>
    <row r="198" spans="1:6" ht="15.75">
      <c r="A198" s="152"/>
      <c r="B198" s="152"/>
      <c r="C198" s="152"/>
      <c r="D198" s="152"/>
      <c r="E198" s="152"/>
      <c r="F198" s="196"/>
    </row>
    <row r="199" spans="1:6" ht="15.75">
      <c r="A199" s="152"/>
      <c r="B199" s="152"/>
      <c r="C199" s="152"/>
      <c r="D199" s="152"/>
      <c r="E199" s="152"/>
      <c r="F199" s="196"/>
    </row>
    <row r="200" spans="1:6" ht="15.75">
      <c r="A200" s="152"/>
      <c r="B200" s="152"/>
      <c r="C200" s="152"/>
      <c r="D200" s="152"/>
      <c r="E200" s="152"/>
      <c r="F200" s="196"/>
    </row>
    <row r="201" spans="1:6" ht="15.75">
      <c r="A201" s="152"/>
      <c r="B201" s="152"/>
      <c r="C201" s="152"/>
      <c r="D201" s="152"/>
      <c r="E201" s="152"/>
      <c r="F201" s="196"/>
    </row>
    <row r="202" spans="1:6" ht="15.75">
      <c r="A202" s="152"/>
      <c r="B202" s="152"/>
      <c r="C202" s="152"/>
      <c r="D202" s="152"/>
      <c r="E202" s="152"/>
      <c r="F202" s="196"/>
    </row>
    <row r="203" spans="1:6" ht="15.75">
      <c r="A203" s="152"/>
      <c r="B203" s="152"/>
      <c r="C203" s="152"/>
      <c r="D203" s="152"/>
      <c r="E203" s="152"/>
      <c r="F203" s="196"/>
    </row>
    <row r="204" spans="1:6" ht="15.75">
      <c r="A204" s="152"/>
      <c r="B204" s="152"/>
      <c r="C204" s="152"/>
      <c r="D204" s="152"/>
      <c r="E204" s="152"/>
      <c r="F204" s="196"/>
    </row>
    <row r="205" spans="1:6" ht="15.75">
      <c r="A205" s="152"/>
      <c r="B205" s="152"/>
      <c r="C205" s="152"/>
      <c r="D205" s="152"/>
      <c r="E205" s="152"/>
      <c r="F205" s="196"/>
    </row>
    <row r="206" spans="1:6" ht="15.75">
      <c r="A206" s="152"/>
      <c r="B206" s="152"/>
      <c r="C206" s="152"/>
      <c r="D206" s="152"/>
      <c r="E206" s="152"/>
      <c r="F206" s="196"/>
    </row>
    <row r="207" spans="1:6" ht="15.75">
      <c r="A207" s="152"/>
      <c r="B207" s="152"/>
      <c r="C207" s="152"/>
      <c r="D207" s="152"/>
      <c r="E207" s="152"/>
      <c r="F207" s="196"/>
    </row>
    <row r="208" spans="1:6" ht="15.75">
      <c r="A208" s="152"/>
      <c r="B208" s="152"/>
      <c r="C208" s="152"/>
      <c r="D208" s="152"/>
      <c r="E208" s="152"/>
      <c r="F208" s="196"/>
    </row>
    <row r="209" spans="1:6" ht="15.75">
      <c r="A209" s="152"/>
      <c r="B209" s="152"/>
      <c r="C209" s="152"/>
      <c r="D209" s="152"/>
      <c r="E209" s="152"/>
      <c r="F209" s="196"/>
    </row>
    <row r="210" spans="1:6" ht="15.75">
      <c r="A210" s="152"/>
      <c r="B210" s="152"/>
      <c r="C210" s="152"/>
      <c r="D210" s="152"/>
      <c r="E210" s="152"/>
      <c r="F210" s="196"/>
    </row>
    <row r="211" spans="1:6" ht="15.75">
      <c r="A211" s="152"/>
      <c r="B211" s="152"/>
      <c r="C211" s="152"/>
      <c r="D211" s="152"/>
      <c r="E211" s="152"/>
      <c r="F211" s="196"/>
    </row>
  </sheetData>
  <sheetProtection/>
  <autoFilter ref="A8:Q155"/>
  <mergeCells count="25">
    <mergeCell ref="A36:F36"/>
    <mergeCell ref="A42:F42"/>
    <mergeCell ref="A9:F9"/>
    <mergeCell ref="A3:F3"/>
    <mergeCell ref="A5:F5"/>
    <mergeCell ref="A7:A8"/>
    <mergeCell ref="B7:B8"/>
    <mergeCell ref="F7:F8"/>
    <mergeCell ref="C7:E7"/>
    <mergeCell ref="A100:F100"/>
    <mergeCell ref="A107:F107"/>
    <mergeCell ref="A123:F123"/>
    <mergeCell ref="A132:F132"/>
    <mergeCell ref="A126:F126"/>
    <mergeCell ref="A64:F64"/>
    <mergeCell ref="A47:F47"/>
    <mergeCell ref="A55:F55"/>
    <mergeCell ref="A58:F58"/>
    <mergeCell ref="A139:F139"/>
    <mergeCell ref="A72:F72"/>
    <mergeCell ref="A80:F80"/>
    <mergeCell ref="A129:F129"/>
    <mergeCell ref="A87:F87"/>
    <mergeCell ref="A94:F94"/>
    <mergeCell ref="A114:F114"/>
  </mergeCells>
  <printOptions/>
  <pageMargins left="0.984251968503937" right="0.3937007874015748" top="0.7480314960629921" bottom="0.5511811023622047" header="0.31496062992125984" footer="0.31496062992125984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22"/>
  <sheetViews>
    <sheetView view="pageBreakPreview" zoomScale="106" zoomScaleSheetLayoutView="106" zoomScalePageLayoutView="0" workbookViewId="0" topLeftCell="A1">
      <selection activeCell="C8" sqref="C8"/>
    </sheetView>
  </sheetViews>
  <sheetFormatPr defaultColWidth="9.140625" defaultRowHeight="12.75"/>
  <cols>
    <col min="1" max="1" width="7.28125" style="3" customWidth="1"/>
    <col min="2" max="2" width="45.421875" style="3" customWidth="1"/>
    <col min="3" max="3" width="18.8515625" style="3" customWidth="1"/>
    <col min="4" max="4" width="11.421875" style="3" bestFit="1" customWidth="1"/>
    <col min="5" max="5" width="9.140625" style="3" customWidth="1"/>
    <col min="6" max="6" width="12.28125" style="3" customWidth="1"/>
    <col min="7" max="7" width="10.28125" style="3" customWidth="1"/>
    <col min="8" max="16384" width="9.140625" style="3" customWidth="1"/>
  </cols>
  <sheetData>
    <row r="1" spans="1:3" ht="12.75">
      <c r="A1" s="386"/>
      <c r="C1" s="386" t="s">
        <v>287</v>
      </c>
    </row>
    <row r="3" spans="2:3" ht="63" customHeight="1">
      <c r="B3" s="764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C3" s="764"/>
    </row>
    <row r="4" spans="2:6" ht="15" customHeight="1">
      <c r="B4" s="765" t="s">
        <v>111</v>
      </c>
      <c r="C4" s="765"/>
      <c r="D4" s="4"/>
      <c r="E4" s="4"/>
      <c r="F4" s="5"/>
    </row>
    <row r="5" spans="1:6" ht="15" customHeight="1">
      <c r="A5" s="69"/>
      <c r="B5" s="69"/>
      <c r="C5" s="69"/>
      <c r="D5" s="4"/>
      <c r="E5" s="4"/>
      <c r="F5" s="5"/>
    </row>
    <row r="6" spans="1:6" ht="34.5" customHeight="1">
      <c r="A6" s="113" t="s">
        <v>74</v>
      </c>
      <c r="B6" s="114" t="s">
        <v>112</v>
      </c>
      <c r="C6" s="113" t="s">
        <v>185</v>
      </c>
      <c r="D6" s="5"/>
      <c r="E6" s="5"/>
      <c r="F6" s="5"/>
    </row>
    <row r="7" spans="1:3" ht="15" customHeight="1">
      <c r="A7" s="116">
        <v>1</v>
      </c>
      <c r="B7" s="114">
        <v>2</v>
      </c>
      <c r="C7" s="116">
        <v>3</v>
      </c>
    </row>
    <row r="8" spans="1:3" ht="20.25" customHeight="1">
      <c r="A8" s="472" t="s">
        <v>439</v>
      </c>
      <c r="B8" s="7" t="s">
        <v>223</v>
      </c>
      <c r="C8" s="598">
        <v>10894</v>
      </c>
    </row>
    <row r="9" spans="1:3" ht="21" customHeight="1">
      <c r="A9" s="473" t="s">
        <v>440</v>
      </c>
      <c r="B9" s="356" t="s">
        <v>437</v>
      </c>
      <c r="C9" s="344">
        <f>26000+250</f>
        <v>26250</v>
      </c>
    </row>
    <row r="10" spans="1:3" s="471" customFormat="1" ht="21" customHeight="1">
      <c r="A10" s="474"/>
      <c r="B10" s="470" t="s">
        <v>438</v>
      </c>
      <c r="C10" s="599">
        <v>12</v>
      </c>
    </row>
    <row r="11" spans="1:4" ht="49.5" customHeight="1">
      <c r="A11" s="475" t="s">
        <v>441</v>
      </c>
      <c r="B11" s="262" t="s">
        <v>174</v>
      </c>
      <c r="C11" s="600">
        <f>2111-250</f>
        <v>1861</v>
      </c>
      <c r="D11" s="11"/>
    </row>
    <row r="12" spans="1:6" ht="30.75" customHeight="1">
      <c r="A12" s="476"/>
      <c r="B12" s="87" t="s">
        <v>47</v>
      </c>
      <c r="C12" s="88">
        <f>C11+C9+C8</f>
        <v>39005</v>
      </c>
      <c r="D12" s="12"/>
      <c r="E12" s="70"/>
      <c r="F12" s="70"/>
    </row>
    <row r="15" spans="1:3" ht="12.75">
      <c r="A15" s="6"/>
      <c r="C15" s="6"/>
    </row>
    <row r="16" spans="1:3" ht="12.75">
      <c r="A16" s="6"/>
      <c r="C16" s="6"/>
    </row>
    <row r="18" spans="1:3" ht="12.75">
      <c r="A18" s="6"/>
      <c r="C18" s="6"/>
    </row>
    <row r="19" spans="1:3" ht="12.75">
      <c r="A19" s="6"/>
      <c r="C19" s="6"/>
    </row>
    <row r="21" spans="1:3" ht="12.75">
      <c r="A21" s="6"/>
      <c r="C21" s="6"/>
    </row>
    <row r="22" spans="1:3" ht="12.75">
      <c r="A22" s="6"/>
      <c r="C22" s="6"/>
    </row>
  </sheetData>
  <sheetProtection/>
  <mergeCells count="2"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95" r:id="rId1"/>
  <colBreaks count="1" manualBreakCount="1">
    <brk id="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32"/>
  <sheetViews>
    <sheetView view="pageBreakPreview" zoomScale="90" zoomScaleSheetLayoutView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13" sqref="L13:L18"/>
    </sheetView>
  </sheetViews>
  <sheetFormatPr defaultColWidth="9.140625" defaultRowHeight="12.75"/>
  <cols>
    <col min="1" max="1" width="7.421875" style="218" customWidth="1"/>
    <col min="2" max="2" width="32.140625" style="218" customWidth="1"/>
    <col min="3" max="6" width="8.57421875" style="646" customWidth="1"/>
    <col min="7" max="18" width="8.57421875" style="218" customWidth="1"/>
    <col min="19" max="16384" width="9.140625" style="218" customWidth="1"/>
  </cols>
  <sheetData>
    <row r="1" spans="5:18" ht="15.75">
      <c r="E1" s="768"/>
      <c r="F1" s="768"/>
      <c r="I1" s="742"/>
      <c r="J1" s="742"/>
      <c r="M1" s="742"/>
      <c r="N1" s="742"/>
      <c r="Q1" s="742" t="s">
        <v>392</v>
      </c>
      <c r="R1" s="742"/>
    </row>
    <row r="3" spans="1:18" ht="30.75" customHeight="1">
      <c r="A3" s="724" t="str">
        <f>'4. СМП'!B3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</row>
    <row r="4" spans="1:17" ht="13.5" customHeight="1">
      <c r="A4" s="84"/>
      <c r="B4" s="84"/>
      <c r="C4" s="84"/>
      <c r="D4" s="84"/>
      <c r="E4" s="84"/>
      <c r="G4" s="84"/>
      <c r="H4" s="84"/>
      <c r="I4" s="84"/>
      <c r="K4" s="84"/>
      <c r="L4" s="84"/>
      <c r="M4" s="84"/>
      <c r="O4" s="84"/>
      <c r="P4" s="84"/>
      <c r="Q4" s="84"/>
    </row>
    <row r="5" spans="1:18" ht="15.75" customHeight="1">
      <c r="A5" s="741" t="s">
        <v>144</v>
      </c>
      <c r="B5" s="741"/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1"/>
      <c r="N5" s="741"/>
      <c r="O5" s="741"/>
      <c r="P5" s="741"/>
      <c r="Q5" s="741"/>
      <c r="R5" s="741"/>
    </row>
    <row r="6" spans="1:18" ht="12.75" customHeight="1">
      <c r="A6" s="641"/>
      <c r="B6" s="641"/>
      <c r="C6" s="641"/>
      <c r="D6" s="641"/>
      <c r="E6" s="641"/>
      <c r="F6" s="641"/>
      <c r="G6" s="641"/>
      <c r="H6" s="641"/>
      <c r="I6" s="641"/>
      <c r="J6" s="641"/>
      <c r="K6" s="641"/>
      <c r="L6" s="641"/>
      <c r="M6" s="641"/>
      <c r="N6" s="641"/>
      <c r="O6" s="641"/>
      <c r="P6" s="641"/>
      <c r="Q6" s="641"/>
      <c r="R6" s="641"/>
    </row>
    <row r="7" spans="1:18" ht="15.75">
      <c r="A7" s="773"/>
      <c r="B7" s="769" t="s">
        <v>545</v>
      </c>
      <c r="C7" s="774" t="s">
        <v>539</v>
      </c>
      <c r="D7" s="774"/>
      <c r="E7" s="774"/>
      <c r="F7" s="774"/>
      <c r="G7" s="769" t="s">
        <v>540</v>
      </c>
      <c r="H7" s="769"/>
      <c r="I7" s="769"/>
      <c r="J7" s="769"/>
      <c r="K7" s="769"/>
      <c r="L7" s="769"/>
      <c r="M7" s="769"/>
      <c r="N7" s="769"/>
      <c r="O7" s="769"/>
      <c r="P7" s="769"/>
      <c r="Q7" s="769"/>
      <c r="R7" s="769"/>
    </row>
    <row r="8" spans="1:18" ht="47.25" customHeight="1">
      <c r="A8" s="773"/>
      <c r="B8" s="769"/>
      <c r="C8" s="774"/>
      <c r="D8" s="774"/>
      <c r="E8" s="774"/>
      <c r="F8" s="774"/>
      <c r="G8" s="767" t="s">
        <v>41</v>
      </c>
      <c r="H8" s="767"/>
      <c r="I8" s="767"/>
      <c r="J8" s="767"/>
      <c r="K8" s="767" t="s">
        <v>510</v>
      </c>
      <c r="L8" s="767"/>
      <c r="M8" s="767"/>
      <c r="N8" s="767"/>
      <c r="O8" s="771" t="s">
        <v>538</v>
      </c>
      <c r="P8" s="771"/>
      <c r="Q8" s="771"/>
      <c r="R8" s="771"/>
    </row>
    <row r="9" spans="1:18" ht="17.25" customHeight="1">
      <c r="A9" s="773"/>
      <c r="B9" s="769"/>
      <c r="C9" s="770" t="s">
        <v>63</v>
      </c>
      <c r="D9" s="770" t="s">
        <v>206</v>
      </c>
      <c r="E9" s="770"/>
      <c r="F9" s="770"/>
      <c r="G9" s="766" t="s">
        <v>63</v>
      </c>
      <c r="H9" s="766" t="s">
        <v>206</v>
      </c>
      <c r="I9" s="766"/>
      <c r="J9" s="766"/>
      <c r="K9" s="766" t="s">
        <v>63</v>
      </c>
      <c r="L9" s="766" t="s">
        <v>206</v>
      </c>
      <c r="M9" s="766"/>
      <c r="N9" s="766"/>
      <c r="O9" s="772" t="s">
        <v>63</v>
      </c>
      <c r="P9" s="772" t="s">
        <v>206</v>
      </c>
      <c r="Q9" s="772"/>
      <c r="R9" s="772"/>
    </row>
    <row r="10" spans="1:18" ht="21" customHeight="1">
      <c r="A10" s="773"/>
      <c r="B10" s="769"/>
      <c r="C10" s="770"/>
      <c r="D10" s="657" t="s">
        <v>210</v>
      </c>
      <c r="E10" s="657" t="s">
        <v>211</v>
      </c>
      <c r="F10" s="657" t="s">
        <v>212</v>
      </c>
      <c r="G10" s="766"/>
      <c r="H10" s="219" t="s">
        <v>210</v>
      </c>
      <c r="I10" s="219" t="s">
        <v>211</v>
      </c>
      <c r="J10" s="219" t="s">
        <v>212</v>
      </c>
      <c r="K10" s="766"/>
      <c r="L10" s="219" t="s">
        <v>210</v>
      </c>
      <c r="M10" s="219" t="s">
        <v>211</v>
      </c>
      <c r="N10" s="219" t="s">
        <v>212</v>
      </c>
      <c r="O10" s="772"/>
      <c r="P10" s="648" t="s">
        <v>210</v>
      </c>
      <c r="Q10" s="648" t="s">
        <v>211</v>
      </c>
      <c r="R10" s="648" t="s">
        <v>212</v>
      </c>
    </row>
    <row r="11" spans="1:18" ht="15.75">
      <c r="A11" s="220">
        <v>1</v>
      </c>
      <c r="B11" s="220">
        <v>2</v>
      </c>
      <c r="C11" s="657">
        <v>3</v>
      </c>
      <c r="D11" s="657">
        <v>4</v>
      </c>
      <c r="E11" s="657">
        <v>5</v>
      </c>
      <c r="F11" s="657">
        <v>6</v>
      </c>
      <c r="G11" s="219">
        <v>7</v>
      </c>
      <c r="H11" s="219">
        <v>8</v>
      </c>
      <c r="I11" s="219">
        <v>9</v>
      </c>
      <c r="J11" s="219">
        <v>10</v>
      </c>
      <c r="K11" s="219">
        <v>11</v>
      </c>
      <c r="L11" s="219">
        <v>12</v>
      </c>
      <c r="M11" s="219">
        <v>13</v>
      </c>
      <c r="N11" s="219">
        <v>14</v>
      </c>
      <c r="O11" s="649">
        <v>15</v>
      </c>
      <c r="P11" s="649">
        <v>16</v>
      </c>
      <c r="Q11" s="648">
        <v>17</v>
      </c>
      <c r="R11" s="648">
        <v>18</v>
      </c>
    </row>
    <row r="12" spans="1:19" s="222" customFormat="1" ht="15.75">
      <c r="A12" s="100"/>
      <c r="B12" s="221" t="s">
        <v>126</v>
      </c>
      <c r="C12" s="357">
        <f>SUM(C13:C24)</f>
        <v>5148</v>
      </c>
      <c r="D12" s="357">
        <f>SUM(D13:D24)</f>
        <v>2391</v>
      </c>
      <c r="E12" s="357">
        <f>SUM(E13:E24)</f>
        <v>2000</v>
      </c>
      <c r="F12" s="357">
        <f>SUM(F13:F24)</f>
        <v>757</v>
      </c>
      <c r="G12" s="357">
        <f aca="true" t="shared" si="0" ref="G12:N12">SUM(G13:G24)</f>
        <v>5120</v>
      </c>
      <c r="H12" s="357">
        <f t="shared" si="0"/>
        <v>2386</v>
      </c>
      <c r="I12" s="357">
        <f t="shared" si="0"/>
        <v>2000</v>
      </c>
      <c r="J12" s="357">
        <f t="shared" si="0"/>
        <v>734</v>
      </c>
      <c r="K12" s="357">
        <f t="shared" si="0"/>
        <v>5</v>
      </c>
      <c r="L12" s="357">
        <f t="shared" si="0"/>
        <v>5</v>
      </c>
      <c r="M12" s="357">
        <f t="shared" si="0"/>
        <v>0</v>
      </c>
      <c r="N12" s="357">
        <f t="shared" si="0"/>
        <v>0</v>
      </c>
      <c r="O12" s="650">
        <f>SUM(O13:O24)</f>
        <v>23</v>
      </c>
      <c r="P12" s="650">
        <f>SUM(P13:P24)</f>
        <v>0</v>
      </c>
      <c r="Q12" s="650">
        <f>SUM(Q13:Q24)</f>
        <v>0</v>
      </c>
      <c r="R12" s="650">
        <f>SUM(R13:R24)</f>
        <v>23</v>
      </c>
      <c r="S12" s="500"/>
    </row>
    <row r="13" spans="1:18" s="222" customFormat="1" ht="19.5" customHeight="1">
      <c r="A13" s="101">
        <v>1</v>
      </c>
      <c r="B13" s="111" t="s">
        <v>127</v>
      </c>
      <c r="C13" s="658">
        <f>SUM(D13:F13)</f>
        <v>2</v>
      </c>
      <c r="D13" s="659">
        <f>H13+L13+P13</f>
        <v>2</v>
      </c>
      <c r="E13" s="659">
        <f>I13+M13+Q13</f>
        <v>0</v>
      </c>
      <c r="F13" s="659">
        <f>J13+N13+R13</f>
        <v>0</v>
      </c>
      <c r="G13" s="647">
        <f>SUM(H13:J13)</f>
        <v>0</v>
      </c>
      <c r="H13" s="467"/>
      <c r="I13" s="467"/>
      <c r="J13" s="467"/>
      <c r="K13" s="647">
        <f>SUM(L13:N13)</f>
        <v>2</v>
      </c>
      <c r="L13" s="467">
        <v>2</v>
      </c>
      <c r="M13" s="467"/>
      <c r="N13" s="76"/>
      <c r="O13" s="651">
        <f>SUM(P13:R13)</f>
        <v>0</v>
      </c>
      <c r="P13" s="652"/>
      <c r="Q13" s="652"/>
      <c r="R13" s="643"/>
    </row>
    <row r="14" spans="1:18" s="222" customFormat="1" ht="28.5" customHeight="1">
      <c r="A14" s="101">
        <v>2</v>
      </c>
      <c r="B14" s="111" t="s">
        <v>128</v>
      </c>
      <c r="C14" s="658">
        <f>SUM(D14:F14)</f>
        <v>2848</v>
      </c>
      <c r="D14" s="659">
        <f aca="true" t="shared" si="1" ref="D14:D24">H14+L14+P14</f>
        <v>1339</v>
      </c>
      <c r="E14" s="659">
        <f aca="true" t="shared" si="2" ref="E14:E24">I14+M14+Q14</f>
        <v>1119</v>
      </c>
      <c r="F14" s="659">
        <f aca="true" t="shared" si="3" ref="F14:F24">J14+N14+R14</f>
        <v>390</v>
      </c>
      <c r="G14" s="647">
        <f>SUM(H14:J14)</f>
        <v>2848</v>
      </c>
      <c r="H14" s="467">
        <v>1339</v>
      </c>
      <c r="I14" s="467">
        <v>1119</v>
      </c>
      <c r="J14" s="467">
        <v>390</v>
      </c>
      <c r="K14" s="647">
        <f>SUM(L14:N14)</f>
        <v>0</v>
      </c>
      <c r="L14" s="467"/>
      <c r="M14" s="467"/>
      <c r="N14" s="76"/>
      <c r="O14" s="651">
        <f>SUM(P14:R14)</f>
        <v>0</v>
      </c>
      <c r="P14" s="652"/>
      <c r="Q14" s="652"/>
      <c r="R14" s="643"/>
    </row>
    <row r="15" spans="1:18" ht="29.25" customHeight="1">
      <c r="A15" s="101">
        <v>3</v>
      </c>
      <c r="B15" s="111" t="s">
        <v>129</v>
      </c>
      <c r="C15" s="658">
        <f aca="true" t="shared" si="4" ref="C15:C24">SUM(D15:F15)</f>
        <v>1909</v>
      </c>
      <c r="D15" s="659">
        <f t="shared" si="1"/>
        <v>843</v>
      </c>
      <c r="E15" s="659">
        <f t="shared" si="2"/>
        <v>736</v>
      </c>
      <c r="F15" s="659">
        <f t="shared" si="3"/>
        <v>330</v>
      </c>
      <c r="G15" s="647">
        <f aca="true" t="shared" si="5" ref="G15:G29">SUM(H15:J15)</f>
        <v>1886</v>
      </c>
      <c r="H15" s="467">
        <v>843</v>
      </c>
      <c r="I15" s="467">
        <v>736</v>
      </c>
      <c r="J15" s="652">
        <f>330-23</f>
        <v>307</v>
      </c>
      <c r="K15" s="647">
        <f aca="true" t="shared" si="6" ref="K15:K24">SUM(L15:N15)</f>
        <v>0</v>
      </c>
      <c r="L15" s="467"/>
      <c r="M15" s="467"/>
      <c r="N15" s="76"/>
      <c r="O15" s="651">
        <f aca="true" t="shared" si="7" ref="O15:O24">SUM(P15:R15)</f>
        <v>23</v>
      </c>
      <c r="P15" s="652"/>
      <c r="Q15" s="652"/>
      <c r="R15" s="643">
        <v>23</v>
      </c>
    </row>
    <row r="16" spans="1:18" s="222" customFormat="1" ht="16.5" customHeight="1">
      <c r="A16" s="101">
        <v>4</v>
      </c>
      <c r="B16" s="111" t="s">
        <v>130</v>
      </c>
      <c r="C16" s="658">
        <f t="shared" si="4"/>
        <v>335</v>
      </c>
      <c r="D16" s="659">
        <f t="shared" si="1"/>
        <v>153</v>
      </c>
      <c r="E16" s="659">
        <f t="shared" si="2"/>
        <v>145</v>
      </c>
      <c r="F16" s="659">
        <f t="shared" si="3"/>
        <v>37</v>
      </c>
      <c r="G16" s="647">
        <f t="shared" si="5"/>
        <v>333</v>
      </c>
      <c r="H16" s="467">
        <v>151</v>
      </c>
      <c r="I16" s="467">
        <v>145</v>
      </c>
      <c r="J16" s="467">
        <v>37</v>
      </c>
      <c r="K16" s="647">
        <f t="shared" si="6"/>
        <v>2</v>
      </c>
      <c r="L16" s="467">
        <v>2</v>
      </c>
      <c r="M16" s="467"/>
      <c r="N16" s="76"/>
      <c r="O16" s="651">
        <f t="shared" si="7"/>
        <v>0</v>
      </c>
      <c r="P16" s="652"/>
      <c r="Q16" s="652"/>
      <c r="R16" s="643"/>
    </row>
    <row r="17" spans="1:18" s="222" customFormat="1" ht="16.5" customHeight="1">
      <c r="A17" s="101">
        <v>5</v>
      </c>
      <c r="B17" s="111" t="s">
        <v>131</v>
      </c>
      <c r="C17" s="658">
        <f t="shared" si="4"/>
        <v>1</v>
      </c>
      <c r="D17" s="659">
        <f t="shared" si="1"/>
        <v>1</v>
      </c>
      <c r="E17" s="659">
        <f t="shared" si="2"/>
        <v>0</v>
      </c>
      <c r="F17" s="659">
        <f t="shared" si="3"/>
        <v>0</v>
      </c>
      <c r="G17" s="647">
        <f t="shared" si="5"/>
        <v>0</v>
      </c>
      <c r="H17" s="467"/>
      <c r="I17" s="467"/>
      <c r="J17" s="467"/>
      <c r="K17" s="647">
        <f t="shared" si="6"/>
        <v>1</v>
      </c>
      <c r="L17" s="467">
        <v>1</v>
      </c>
      <c r="M17" s="467"/>
      <c r="N17" s="76"/>
      <c r="O17" s="651">
        <f t="shared" si="7"/>
        <v>0</v>
      </c>
      <c r="P17" s="652"/>
      <c r="Q17" s="652"/>
      <c r="R17" s="643"/>
    </row>
    <row r="18" spans="1:18" s="222" customFormat="1" ht="29.25" customHeight="1">
      <c r="A18" s="101">
        <v>6</v>
      </c>
      <c r="B18" s="111" t="s">
        <v>132</v>
      </c>
      <c r="C18" s="658">
        <f t="shared" si="4"/>
        <v>1</v>
      </c>
      <c r="D18" s="659">
        <f t="shared" si="1"/>
        <v>1</v>
      </c>
      <c r="E18" s="659">
        <f t="shared" si="2"/>
        <v>0</v>
      </c>
      <c r="F18" s="659">
        <f t="shared" si="3"/>
        <v>0</v>
      </c>
      <c r="G18" s="647">
        <f t="shared" si="5"/>
        <v>1</v>
      </c>
      <c r="H18" s="467">
        <v>1</v>
      </c>
      <c r="I18" s="467"/>
      <c r="J18" s="467"/>
      <c r="K18" s="647">
        <f t="shared" si="6"/>
        <v>0</v>
      </c>
      <c r="L18" s="467"/>
      <c r="M18" s="467"/>
      <c r="N18" s="76"/>
      <c r="O18" s="651">
        <f t="shared" si="7"/>
        <v>0</v>
      </c>
      <c r="P18" s="652"/>
      <c r="Q18" s="652"/>
      <c r="R18" s="643"/>
    </row>
    <row r="19" spans="1:18" s="222" customFormat="1" ht="16.5" customHeight="1">
      <c r="A19" s="101">
        <v>7</v>
      </c>
      <c r="B19" s="111" t="s">
        <v>133</v>
      </c>
      <c r="C19" s="658">
        <f t="shared" si="4"/>
        <v>0</v>
      </c>
      <c r="D19" s="659">
        <f t="shared" si="1"/>
        <v>0</v>
      </c>
      <c r="E19" s="659">
        <f t="shared" si="2"/>
        <v>0</v>
      </c>
      <c r="F19" s="659">
        <f t="shared" si="3"/>
        <v>0</v>
      </c>
      <c r="G19" s="647">
        <f t="shared" si="5"/>
        <v>0</v>
      </c>
      <c r="H19" s="467"/>
      <c r="I19" s="467"/>
      <c r="J19" s="467"/>
      <c r="K19" s="647">
        <f t="shared" si="6"/>
        <v>0</v>
      </c>
      <c r="L19" s="467"/>
      <c r="M19" s="467"/>
      <c r="N19" s="76"/>
      <c r="O19" s="651">
        <f t="shared" si="7"/>
        <v>0</v>
      </c>
      <c r="P19" s="652"/>
      <c r="Q19" s="652"/>
      <c r="R19" s="643"/>
    </row>
    <row r="20" spans="1:18" s="222" customFormat="1" ht="16.5" customHeight="1">
      <c r="A20" s="101">
        <v>8</v>
      </c>
      <c r="B20" s="111" t="s">
        <v>134</v>
      </c>
      <c r="C20" s="658">
        <f t="shared" si="4"/>
        <v>0</v>
      </c>
      <c r="D20" s="659">
        <f t="shared" si="1"/>
        <v>0</v>
      </c>
      <c r="E20" s="659">
        <f t="shared" si="2"/>
        <v>0</v>
      </c>
      <c r="F20" s="659">
        <f t="shared" si="3"/>
        <v>0</v>
      </c>
      <c r="G20" s="647">
        <f t="shared" si="5"/>
        <v>0</v>
      </c>
      <c r="H20" s="467"/>
      <c r="I20" s="467"/>
      <c r="J20" s="467"/>
      <c r="K20" s="647">
        <f t="shared" si="6"/>
        <v>0</v>
      </c>
      <c r="L20" s="467"/>
      <c r="M20" s="467"/>
      <c r="N20" s="76"/>
      <c r="O20" s="651">
        <f t="shared" si="7"/>
        <v>0</v>
      </c>
      <c r="P20" s="652"/>
      <c r="Q20" s="652"/>
      <c r="R20" s="643"/>
    </row>
    <row r="21" spans="1:18" s="222" customFormat="1" ht="16.5" customHeight="1">
      <c r="A21" s="101">
        <v>9</v>
      </c>
      <c r="B21" s="111" t="s">
        <v>135</v>
      </c>
      <c r="C21" s="658">
        <f t="shared" si="4"/>
        <v>40</v>
      </c>
      <c r="D21" s="659">
        <f t="shared" si="1"/>
        <v>40</v>
      </c>
      <c r="E21" s="659">
        <f t="shared" si="2"/>
        <v>0</v>
      </c>
      <c r="F21" s="659">
        <f t="shared" si="3"/>
        <v>0</v>
      </c>
      <c r="G21" s="647">
        <f t="shared" si="5"/>
        <v>40</v>
      </c>
      <c r="H21" s="467">
        <v>40</v>
      </c>
      <c r="I21" s="467"/>
      <c r="J21" s="467"/>
      <c r="K21" s="647">
        <f t="shared" si="6"/>
        <v>0</v>
      </c>
      <c r="L21" s="467"/>
      <c r="M21" s="467"/>
      <c r="N21" s="76"/>
      <c r="O21" s="651">
        <f t="shared" si="7"/>
        <v>0</v>
      </c>
      <c r="P21" s="652"/>
      <c r="Q21" s="652"/>
      <c r="R21" s="643"/>
    </row>
    <row r="22" spans="1:18" s="222" customFormat="1" ht="16.5" customHeight="1">
      <c r="A22" s="101">
        <v>10</v>
      </c>
      <c r="B22" s="111" t="s">
        <v>136</v>
      </c>
      <c r="C22" s="658">
        <f t="shared" si="4"/>
        <v>4</v>
      </c>
      <c r="D22" s="659">
        <f t="shared" si="1"/>
        <v>4</v>
      </c>
      <c r="E22" s="659">
        <f t="shared" si="2"/>
        <v>0</v>
      </c>
      <c r="F22" s="659">
        <f t="shared" si="3"/>
        <v>0</v>
      </c>
      <c r="G22" s="647">
        <f t="shared" si="5"/>
        <v>4</v>
      </c>
      <c r="H22" s="76">
        <v>4</v>
      </c>
      <c r="I22" s="76"/>
      <c r="J22" s="76"/>
      <c r="K22" s="647">
        <f t="shared" si="6"/>
        <v>0</v>
      </c>
      <c r="L22" s="76"/>
      <c r="M22" s="76"/>
      <c r="N22" s="76"/>
      <c r="O22" s="651">
        <f t="shared" si="7"/>
        <v>0</v>
      </c>
      <c r="P22" s="643"/>
      <c r="Q22" s="643"/>
      <c r="R22" s="643"/>
    </row>
    <row r="23" spans="1:18" s="222" customFormat="1" ht="32.25" customHeight="1">
      <c r="A23" s="101">
        <v>11</v>
      </c>
      <c r="B23" s="111" t="s">
        <v>137</v>
      </c>
      <c r="C23" s="658">
        <f t="shared" si="4"/>
        <v>0</v>
      </c>
      <c r="D23" s="659">
        <f t="shared" si="1"/>
        <v>0</v>
      </c>
      <c r="E23" s="659">
        <f t="shared" si="2"/>
        <v>0</v>
      </c>
      <c r="F23" s="659">
        <f t="shared" si="3"/>
        <v>0</v>
      </c>
      <c r="G23" s="647">
        <f t="shared" si="5"/>
        <v>0</v>
      </c>
      <c r="H23" s="76"/>
      <c r="I23" s="76"/>
      <c r="J23" s="76"/>
      <c r="K23" s="647">
        <f t="shared" si="6"/>
        <v>0</v>
      </c>
      <c r="L23" s="76"/>
      <c r="M23" s="76"/>
      <c r="N23" s="76"/>
      <c r="O23" s="651">
        <f t="shared" si="7"/>
        <v>0</v>
      </c>
      <c r="P23" s="643"/>
      <c r="Q23" s="643"/>
      <c r="R23" s="643"/>
    </row>
    <row r="24" spans="1:18" s="222" customFormat="1" ht="32.25" customHeight="1">
      <c r="A24" s="101">
        <v>12</v>
      </c>
      <c r="B24" s="111" t="s">
        <v>138</v>
      </c>
      <c r="C24" s="658">
        <f t="shared" si="4"/>
        <v>8</v>
      </c>
      <c r="D24" s="659">
        <f t="shared" si="1"/>
        <v>8</v>
      </c>
      <c r="E24" s="659">
        <f t="shared" si="2"/>
        <v>0</v>
      </c>
      <c r="F24" s="659">
        <f t="shared" si="3"/>
        <v>0</v>
      </c>
      <c r="G24" s="647">
        <f t="shared" si="5"/>
        <v>8</v>
      </c>
      <c r="H24" s="76">
        <v>8</v>
      </c>
      <c r="I24" s="76"/>
      <c r="J24" s="76"/>
      <c r="K24" s="647">
        <f t="shared" si="6"/>
        <v>0</v>
      </c>
      <c r="L24" s="76"/>
      <c r="M24" s="76"/>
      <c r="N24" s="76"/>
      <c r="O24" s="651">
        <f t="shared" si="7"/>
        <v>0</v>
      </c>
      <c r="P24" s="643"/>
      <c r="Q24" s="643"/>
      <c r="R24" s="643"/>
    </row>
    <row r="25" spans="1:18" s="222" customFormat="1" ht="28.5" customHeight="1">
      <c r="A25" s="100"/>
      <c r="B25" s="221" t="s">
        <v>139</v>
      </c>
      <c r="C25" s="357">
        <f>SUM(C26:C29)</f>
        <v>905</v>
      </c>
      <c r="D25" s="357">
        <f>SUM(D26:D29)</f>
        <v>449</v>
      </c>
      <c r="E25" s="357">
        <f>SUM(E26:E29)</f>
        <v>456</v>
      </c>
      <c r="F25" s="357">
        <f>SUM(F26:F29)</f>
        <v>0</v>
      </c>
      <c r="G25" s="357">
        <f aca="true" t="shared" si="8" ref="G25:N25">SUM(G26:G29)</f>
        <v>905</v>
      </c>
      <c r="H25" s="357">
        <f t="shared" si="8"/>
        <v>449</v>
      </c>
      <c r="I25" s="357">
        <f t="shared" si="8"/>
        <v>456</v>
      </c>
      <c r="J25" s="357">
        <f t="shared" si="8"/>
        <v>0</v>
      </c>
      <c r="K25" s="357">
        <f t="shared" si="8"/>
        <v>0</v>
      </c>
      <c r="L25" s="357">
        <f t="shared" si="8"/>
        <v>0</v>
      </c>
      <c r="M25" s="357">
        <f t="shared" si="8"/>
        <v>0</v>
      </c>
      <c r="N25" s="357">
        <f t="shared" si="8"/>
        <v>0</v>
      </c>
      <c r="O25" s="650">
        <f>SUM(O26:O29)</f>
        <v>0</v>
      </c>
      <c r="P25" s="650">
        <f>SUM(P26:P29)</f>
        <v>0</v>
      </c>
      <c r="Q25" s="650">
        <f>SUM(Q26:Q29)</f>
        <v>0</v>
      </c>
      <c r="R25" s="650">
        <f>SUM(R26:R29)</f>
        <v>0</v>
      </c>
    </row>
    <row r="26" spans="1:18" s="222" customFormat="1" ht="18" customHeight="1">
      <c r="A26" s="101">
        <v>13</v>
      </c>
      <c r="B26" s="102" t="s">
        <v>140</v>
      </c>
      <c r="C26" s="658">
        <f>SUM(D26:F26)</f>
        <v>56</v>
      </c>
      <c r="D26" s="659">
        <f aca="true" t="shared" si="9" ref="D26:F29">H26+L26+P26</f>
        <v>31</v>
      </c>
      <c r="E26" s="659">
        <f t="shared" si="9"/>
        <v>25</v>
      </c>
      <c r="F26" s="659">
        <f t="shared" si="9"/>
        <v>0</v>
      </c>
      <c r="G26" s="647">
        <f t="shared" si="5"/>
        <v>56</v>
      </c>
      <c r="H26" s="76">
        <v>31</v>
      </c>
      <c r="I26" s="76">
        <v>25</v>
      </c>
      <c r="J26" s="76"/>
      <c r="K26" s="647">
        <f>SUM(L26:N26)</f>
        <v>0</v>
      </c>
      <c r="L26" s="76"/>
      <c r="M26" s="76"/>
      <c r="N26" s="76"/>
      <c r="O26" s="651">
        <f>SUM(P26:R26)</f>
        <v>0</v>
      </c>
      <c r="P26" s="643"/>
      <c r="Q26" s="643"/>
      <c r="R26" s="643"/>
    </row>
    <row r="27" spans="1:18" s="222" customFormat="1" ht="28.5" customHeight="1">
      <c r="A27" s="101">
        <v>14</v>
      </c>
      <c r="B27" s="102" t="s">
        <v>141</v>
      </c>
      <c r="C27" s="658">
        <f>SUM(D27:F27)</f>
        <v>354</v>
      </c>
      <c r="D27" s="659">
        <f t="shared" si="9"/>
        <v>223</v>
      </c>
      <c r="E27" s="659">
        <f t="shared" si="9"/>
        <v>131</v>
      </c>
      <c r="F27" s="659">
        <f t="shared" si="9"/>
        <v>0</v>
      </c>
      <c r="G27" s="647">
        <f t="shared" si="5"/>
        <v>354</v>
      </c>
      <c r="H27" s="76">
        <v>223</v>
      </c>
      <c r="I27" s="76">
        <v>131</v>
      </c>
      <c r="J27" s="76"/>
      <c r="K27" s="647">
        <f>SUM(L27:N27)</f>
        <v>0</v>
      </c>
      <c r="L27" s="76"/>
      <c r="M27" s="76"/>
      <c r="N27" s="76"/>
      <c r="O27" s="651">
        <f>SUM(P27:R27)</f>
        <v>0</v>
      </c>
      <c r="P27" s="643"/>
      <c r="Q27" s="643"/>
      <c r="R27" s="643"/>
    </row>
    <row r="28" spans="1:18" ht="46.5" customHeight="1">
      <c r="A28" s="101">
        <v>15</v>
      </c>
      <c r="B28" s="102" t="s">
        <v>142</v>
      </c>
      <c r="C28" s="658">
        <f>SUM(D28:F28)</f>
        <v>495</v>
      </c>
      <c r="D28" s="659">
        <f t="shared" si="9"/>
        <v>195</v>
      </c>
      <c r="E28" s="659">
        <f t="shared" si="9"/>
        <v>300</v>
      </c>
      <c r="F28" s="659">
        <f t="shared" si="9"/>
        <v>0</v>
      </c>
      <c r="G28" s="647">
        <f t="shared" si="5"/>
        <v>495</v>
      </c>
      <c r="H28" s="76">
        <v>195</v>
      </c>
      <c r="I28" s="76">
        <v>300</v>
      </c>
      <c r="J28" s="76"/>
      <c r="K28" s="647">
        <f>SUM(L28:N28)</f>
        <v>0</v>
      </c>
      <c r="L28" s="76"/>
      <c r="M28" s="76"/>
      <c r="N28" s="76"/>
      <c r="O28" s="651">
        <f>SUM(P28:R28)</f>
        <v>0</v>
      </c>
      <c r="P28" s="643"/>
      <c r="Q28" s="643"/>
      <c r="R28" s="643"/>
    </row>
    <row r="29" spans="1:18" ht="30" customHeight="1">
      <c r="A29" s="101">
        <v>16</v>
      </c>
      <c r="B29" s="102" t="s">
        <v>143</v>
      </c>
      <c r="C29" s="658">
        <f>SUM(D29:F29)</f>
        <v>0</v>
      </c>
      <c r="D29" s="659">
        <f t="shared" si="9"/>
        <v>0</v>
      </c>
      <c r="E29" s="659">
        <f t="shared" si="9"/>
        <v>0</v>
      </c>
      <c r="F29" s="659">
        <f t="shared" si="9"/>
        <v>0</v>
      </c>
      <c r="G29" s="647">
        <f t="shared" si="5"/>
        <v>0</v>
      </c>
      <c r="H29" s="76"/>
      <c r="I29" s="76"/>
      <c r="J29" s="76"/>
      <c r="K29" s="647">
        <f>SUM(L29:N29)</f>
        <v>0</v>
      </c>
      <c r="L29" s="76"/>
      <c r="M29" s="76"/>
      <c r="N29" s="76"/>
      <c r="O29" s="651">
        <f>SUM(P29:R29)</f>
        <v>0</v>
      </c>
      <c r="P29" s="643"/>
      <c r="Q29" s="643"/>
      <c r="R29" s="643"/>
    </row>
    <row r="30" spans="1:18" ht="15.75">
      <c r="A30" s="103"/>
      <c r="B30" s="104" t="s">
        <v>63</v>
      </c>
      <c r="C30" s="92">
        <f>C25+C12</f>
        <v>6053</v>
      </c>
      <c r="D30" s="357">
        <f>D25+D12</f>
        <v>2840</v>
      </c>
      <c r="E30" s="357">
        <f>E25+E12</f>
        <v>2456</v>
      </c>
      <c r="F30" s="357">
        <f>F25+F12</f>
        <v>757</v>
      </c>
      <c r="G30" s="92">
        <f aca="true" t="shared" si="10" ref="G30:N30">G25+G12</f>
        <v>6025</v>
      </c>
      <c r="H30" s="357">
        <f t="shared" si="10"/>
        <v>2835</v>
      </c>
      <c r="I30" s="357">
        <f t="shared" si="10"/>
        <v>2456</v>
      </c>
      <c r="J30" s="357">
        <f t="shared" si="10"/>
        <v>734</v>
      </c>
      <c r="K30" s="92">
        <f t="shared" si="10"/>
        <v>5</v>
      </c>
      <c r="L30" s="357">
        <f t="shared" si="10"/>
        <v>5</v>
      </c>
      <c r="M30" s="357">
        <f t="shared" si="10"/>
        <v>0</v>
      </c>
      <c r="N30" s="357">
        <f t="shared" si="10"/>
        <v>0</v>
      </c>
      <c r="O30" s="653">
        <f>O25+O12</f>
        <v>23</v>
      </c>
      <c r="P30" s="650">
        <f>P25+P12</f>
        <v>0</v>
      </c>
      <c r="Q30" s="650">
        <f>Q25+Q12</f>
        <v>0</v>
      </c>
      <c r="R30" s="650">
        <f>R25+R12</f>
        <v>23</v>
      </c>
    </row>
    <row r="32" ht="15.75">
      <c r="C32" s="660"/>
    </row>
  </sheetData>
  <sheetProtection/>
  <mergeCells count="21">
    <mergeCell ref="C7:F8"/>
    <mergeCell ref="K9:K10"/>
    <mergeCell ref="Q1:R1"/>
    <mergeCell ref="O8:R8"/>
    <mergeCell ref="O9:O10"/>
    <mergeCell ref="P9:R9"/>
    <mergeCell ref="A3:R3"/>
    <mergeCell ref="I1:J1"/>
    <mergeCell ref="D9:F9"/>
    <mergeCell ref="A7:A10"/>
    <mergeCell ref="B7:B10"/>
    <mergeCell ref="L9:N9"/>
    <mergeCell ref="G8:J8"/>
    <mergeCell ref="G9:G10"/>
    <mergeCell ref="A5:R5"/>
    <mergeCell ref="E1:F1"/>
    <mergeCell ref="H9:J9"/>
    <mergeCell ref="G7:R7"/>
    <mergeCell ref="C9:C10"/>
    <mergeCell ref="M1:N1"/>
    <mergeCell ref="K8:N8"/>
  </mergeCells>
  <printOptions/>
  <pageMargins left="0.3937007874015748" right="0.31496062992125984" top="0.7874015748031497" bottom="0.31496062992125984" header="0.5118110236220472" footer="0.5118110236220472"/>
  <pageSetup firstPageNumber="1" useFirstPageNumber="1" horizontalDpi="600" verticalDpi="600" orientation="landscape" paperSize="9" scale="78" r:id="rId1"/>
  <headerFooter alignWithMargins="0">
    <oddFooter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32"/>
  <sheetViews>
    <sheetView view="pageBreakPreview" zoomScale="80" zoomScaleSheetLayoutView="80" zoomScalePageLayoutView="0" workbookViewId="0" topLeftCell="A1">
      <selection activeCell="L3" sqref="L3"/>
    </sheetView>
  </sheetViews>
  <sheetFormatPr defaultColWidth="9.140625" defaultRowHeight="12.75"/>
  <cols>
    <col min="1" max="1" width="6.28125" style="375" customWidth="1"/>
    <col min="2" max="2" width="66.00390625" style="375" customWidth="1"/>
    <col min="3" max="3" width="15.28125" style="375" customWidth="1"/>
    <col min="4" max="4" width="18.00390625" style="375" customWidth="1"/>
    <col min="5" max="5" width="15.28125" style="375" customWidth="1"/>
    <col min="6" max="6" width="16.140625" style="375" customWidth="1"/>
    <col min="7" max="7" width="14.00390625" style="375" customWidth="1"/>
    <col min="8" max="9" width="13.28125" style="375" customWidth="1"/>
    <col min="10" max="10" width="16.7109375" style="375" customWidth="1"/>
    <col min="11" max="13" width="13.28125" style="375" customWidth="1"/>
    <col min="14" max="14" width="21.7109375" style="375" customWidth="1"/>
    <col min="15" max="15" width="12.7109375" style="375" customWidth="1"/>
    <col min="16" max="16" width="12.8515625" style="375" customWidth="1"/>
    <col min="17" max="17" width="9.57421875" style="375" bestFit="1" customWidth="1"/>
    <col min="18" max="18" width="10.421875" style="375" bestFit="1" customWidth="1"/>
    <col min="19" max="16384" width="9.140625" style="375" customWidth="1"/>
  </cols>
  <sheetData>
    <row r="1" ht="15.75">
      <c r="E1" s="376" t="s">
        <v>286</v>
      </c>
    </row>
    <row r="3" spans="1:5" ht="56.25" customHeight="1">
      <c r="A3" s="775" t="s">
        <v>347</v>
      </c>
      <c r="B3" s="775"/>
      <c r="C3" s="775"/>
      <c r="D3" s="775"/>
      <c r="E3" s="775"/>
    </row>
    <row r="5" spans="1:5" ht="38.25" customHeight="1">
      <c r="A5" s="776" t="s">
        <v>74</v>
      </c>
      <c r="B5" s="778" t="s">
        <v>231</v>
      </c>
      <c r="C5" s="779" t="s">
        <v>427</v>
      </c>
      <c r="D5" s="780" t="s">
        <v>424</v>
      </c>
      <c r="E5" s="781" t="s">
        <v>428</v>
      </c>
    </row>
    <row r="6" spans="1:14" ht="54" customHeight="1">
      <c r="A6" s="777"/>
      <c r="B6" s="778"/>
      <c r="C6" s="779"/>
      <c r="D6" s="780"/>
      <c r="E6" s="781"/>
      <c r="K6" s="578"/>
      <c r="L6" s="578"/>
      <c r="M6" s="578"/>
      <c r="N6" s="578"/>
    </row>
    <row r="7" spans="1:16" ht="22.5" customHeight="1">
      <c r="A7" s="414">
        <v>1</v>
      </c>
      <c r="B7" s="637" t="s">
        <v>41</v>
      </c>
      <c r="C7" s="469">
        <v>4095634.11</v>
      </c>
      <c r="D7" s="416">
        <f>-258.64-475.92</f>
        <v>-734.56</v>
      </c>
      <c r="E7" s="424">
        <f aca="true" t="shared" si="0" ref="E7:E20">C7+D7</f>
        <v>4094899.55</v>
      </c>
      <c r="H7" s="420"/>
      <c r="O7" s="580"/>
      <c r="P7" s="579"/>
    </row>
    <row r="8" spans="1:19" ht="22.5" customHeight="1">
      <c r="A8" s="417" t="s">
        <v>262</v>
      </c>
      <c r="B8" s="637" t="s">
        <v>54</v>
      </c>
      <c r="C8" s="469">
        <v>487702.42</v>
      </c>
      <c r="D8" s="416"/>
      <c r="E8" s="424">
        <f t="shared" si="0"/>
        <v>487702.42</v>
      </c>
      <c r="H8" s="420"/>
      <c r="O8" s="580"/>
      <c r="P8" s="579"/>
      <c r="Q8" s="580"/>
      <c r="R8" s="583"/>
      <c r="S8" s="582"/>
    </row>
    <row r="9" spans="1:19" ht="33.75" customHeight="1">
      <c r="A9" s="417" t="s">
        <v>263</v>
      </c>
      <c r="B9" s="637" t="s">
        <v>513</v>
      </c>
      <c r="C9" s="469">
        <v>23592.04</v>
      </c>
      <c r="D9" s="416"/>
      <c r="E9" s="424">
        <f t="shared" si="0"/>
        <v>23592.04</v>
      </c>
      <c r="G9" s="420"/>
      <c r="H9" s="420"/>
      <c r="O9" s="580"/>
      <c r="P9" s="579"/>
      <c r="S9" s="582"/>
    </row>
    <row r="10" spans="1:19" ht="32.25" customHeight="1">
      <c r="A10" s="417" t="s">
        <v>264</v>
      </c>
      <c r="B10" s="637" t="s">
        <v>509</v>
      </c>
      <c r="C10" s="469">
        <v>972503.4500000003</v>
      </c>
      <c r="D10" s="416">
        <v>574.35</v>
      </c>
      <c r="E10" s="424">
        <f t="shared" si="0"/>
        <v>973077.8000000003</v>
      </c>
      <c r="H10" s="420"/>
      <c r="O10" s="580"/>
      <c r="P10" s="579"/>
      <c r="R10" s="583"/>
      <c r="S10" s="582"/>
    </row>
    <row r="11" spans="1:16" ht="22.5" customHeight="1">
      <c r="A11" s="417" t="s">
        <v>512</v>
      </c>
      <c r="B11" s="637" t="s">
        <v>219</v>
      </c>
      <c r="C11" s="469">
        <v>1085905.89</v>
      </c>
      <c r="D11" s="416">
        <v>-93.42</v>
      </c>
      <c r="E11" s="424">
        <f t="shared" si="0"/>
        <v>1085812.47</v>
      </c>
      <c r="F11" s="420"/>
      <c r="H11" s="420"/>
      <c r="O11" s="580"/>
      <c r="P11" s="579"/>
    </row>
    <row r="12" spans="1:16" ht="22.5" customHeight="1">
      <c r="A12" s="417" t="s">
        <v>265</v>
      </c>
      <c r="B12" s="637" t="s">
        <v>232</v>
      </c>
      <c r="C12" s="469">
        <v>350991.34</v>
      </c>
      <c r="D12" s="416"/>
      <c r="E12" s="424">
        <f t="shared" si="0"/>
        <v>350991.34</v>
      </c>
      <c r="F12" s="420"/>
      <c r="G12" s="420"/>
      <c r="H12" s="420"/>
      <c r="O12" s="580"/>
      <c r="P12" s="579"/>
    </row>
    <row r="13" spans="1:16" ht="20.25" customHeight="1">
      <c r="A13" s="417" t="s">
        <v>266</v>
      </c>
      <c r="B13" s="637" t="s">
        <v>233</v>
      </c>
      <c r="C13" s="469">
        <v>6175.92</v>
      </c>
      <c r="D13" s="416"/>
      <c r="E13" s="424">
        <f t="shared" si="0"/>
        <v>6175.92</v>
      </c>
      <c r="O13" s="580"/>
      <c r="P13" s="579"/>
    </row>
    <row r="14" spans="1:16" ht="20.25" customHeight="1">
      <c r="A14" s="417" t="s">
        <v>267</v>
      </c>
      <c r="B14" s="638" t="s">
        <v>234</v>
      </c>
      <c r="C14" s="469">
        <v>3955.07</v>
      </c>
      <c r="D14" s="416"/>
      <c r="E14" s="424">
        <f t="shared" si="0"/>
        <v>3955.07</v>
      </c>
      <c r="O14" s="580"/>
      <c r="P14" s="579"/>
    </row>
    <row r="15" spans="1:16" ht="20.25" customHeight="1">
      <c r="A15" s="417" t="s">
        <v>268</v>
      </c>
      <c r="B15" s="637" t="s">
        <v>235</v>
      </c>
      <c r="C15" s="469">
        <v>38026.78</v>
      </c>
      <c r="D15" s="416"/>
      <c r="E15" s="424">
        <f t="shared" si="0"/>
        <v>38026.78</v>
      </c>
      <c r="O15" s="580"/>
      <c r="P15" s="579"/>
    </row>
    <row r="16" spans="1:16" ht="20.25" customHeight="1">
      <c r="A16" s="417" t="s">
        <v>269</v>
      </c>
      <c r="B16" s="637" t="s">
        <v>236</v>
      </c>
      <c r="C16" s="469">
        <v>51999.07</v>
      </c>
      <c r="D16" s="416"/>
      <c r="E16" s="424">
        <f t="shared" si="0"/>
        <v>51999.07</v>
      </c>
      <c r="H16" s="420"/>
      <c r="O16" s="580"/>
      <c r="P16" s="579"/>
    </row>
    <row r="17" spans="1:16" ht="23.25" customHeight="1">
      <c r="A17" s="417" t="s">
        <v>270</v>
      </c>
      <c r="B17" s="637" t="s">
        <v>237</v>
      </c>
      <c r="C17" s="469">
        <v>56593.53999999999</v>
      </c>
      <c r="D17" s="416"/>
      <c r="E17" s="424">
        <f t="shared" si="0"/>
        <v>56593.53999999999</v>
      </c>
      <c r="H17" s="420"/>
      <c r="O17" s="580"/>
      <c r="P17" s="579"/>
    </row>
    <row r="18" spans="1:16" ht="24" customHeight="1">
      <c r="A18" s="417" t="s">
        <v>271</v>
      </c>
      <c r="B18" s="638" t="s">
        <v>238</v>
      </c>
      <c r="C18" s="469">
        <v>8259.22</v>
      </c>
      <c r="D18" s="416"/>
      <c r="E18" s="424">
        <f t="shared" si="0"/>
        <v>8259.22</v>
      </c>
      <c r="H18" s="420"/>
      <c r="P18" s="579"/>
    </row>
    <row r="19" spans="1:16" ht="20.25" customHeight="1">
      <c r="A19" s="417" t="s">
        <v>272</v>
      </c>
      <c r="B19" s="638" t="s">
        <v>239</v>
      </c>
      <c r="C19" s="469">
        <v>5666.29</v>
      </c>
      <c r="D19" s="416"/>
      <c r="E19" s="424">
        <f t="shared" si="0"/>
        <v>5666.29</v>
      </c>
      <c r="H19" s="420"/>
      <c r="P19" s="579"/>
    </row>
    <row r="20" spans="1:16" ht="20.25" customHeight="1">
      <c r="A20" s="417" t="s">
        <v>273</v>
      </c>
      <c r="B20" s="637" t="s">
        <v>106</v>
      </c>
      <c r="C20" s="469">
        <v>732.58</v>
      </c>
      <c r="D20" s="416">
        <v>-5.01</v>
      </c>
      <c r="E20" s="424">
        <f t="shared" si="0"/>
        <v>727.57</v>
      </c>
      <c r="H20" s="420"/>
      <c r="P20" s="579"/>
    </row>
    <row r="21" spans="1:16" ht="20.25" customHeight="1">
      <c r="A21" s="417" t="s">
        <v>274</v>
      </c>
      <c r="B21" s="637" t="s">
        <v>240</v>
      </c>
      <c r="C21" s="469">
        <v>521.55</v>
      </c>
      <c r="D21" s="416"/>
      <c r="E21" s="424">
        <f aca="true" t="shared" si="1" ref="E21:E28">C21+D21</f>
        <v>521.55</v>
      </c>
      <c r="H21" s="420"/>
      <c r="P21" s="579"/>
    </row>
    <row r="22" spans="1:16" ht="20.25" customHeight="1">
      <c r="A22" s="417" t="s">
        <v>275</v>
      </c>
      <c r="B22" s="637" t="s">
        <v>55</v>
      </c>
      <c r="C22" s="469">
        <v>1870.93</v>
      </c>
      <c r="D22" s="416"/>
      <c r="E22" s="424">
        <f t="shared" si="1"/>
        <v>1870.93</v>
      </c>
      <c r="H22" s="420"/>
      <c r="P22" s="579"/>
    </row>
    <row r="23" spans="1:16" ht="23.25" customHeight="1">
      <c r="A23" s="417" t="s">
        <v>276</v>
      </c>
      <c r="B23" s="638" t="s">
        <v>425</v>
      </c>
      <c r="C23" s="469">
        <v>468.21000000000004</v>
      </c>
      <c r="D23" s="416"/>
      <c r="E23" s="424">
        <f t="shared" si="1"/>
        <v>468.21000000000004</v>
      </c>
      <c r="G23" s="581"/>
      <c r="H23" s="581"/>
      <c r="I23" s="581"/>
      <c r="J23" s="581"/>
      <c r="K23" s="581"/>
      <c r="L23" s="581"/>
      <c r="M23" s="581"/>
      <c r="N23" s="581"/>
      <c r="O23" s="581"/>
      <c r="P23" s="581"/>
    </row>
    <row r="24" spans="1:11" ht="26.25" customHeight="1">
      <c r="A24" s="417" t="s">
        <v>277</v>
      </c>
      <c r="B24" s="637" t="s">
        <v>324</v>
      </c>
      <c r="C24" s="469">
        <v>753.83</v>
      </c>
      <c r="D24" s="416"/>
      <c r="E24" s="424">
        <f t="shared" si="1"/>
        <v>753.83</v>
      </c>
      <c r="H24" s="420"/>
      <c r="K24" s="580"/>
    </row>
    <row r="25" spans="1:16" ht="20.25" customHeight="1">
      <c r="A25" s="417" t="s">
        <v>278</v>
      </c>
      <c r="B25" s="637" t="s">
        <v>280</v>
      </c>
      <c r="C25" s="469">
        <v>14077.53</v>
      </c>
      <c r="D25" s="416"/>
      <c r="E25" s="424">
        <f t="shared" si="1"/>
        <v>14077.53</v>
      </c>
      <c r="G25" s="582"/>
      <c r="H25" s="582"/>
      <c r="I25" s="583"/>
      <c r="J25" s="583"/>
      <c r="K25" s="582"/>
      <c r="L25" s="583"/>
      <c r="M25" s="583"/>
      <c r="N25" s="583"/>
      <c r="O25" s="583"/>
      <c r="P25" s="584"/>
    </row>
    <row r="26" spans="1:8" ht="31.5" customHeight="1">
      <c r="A26" s="417" t="s">
        <v>279</v>
      </c>
      <c r="B26" s="637" t="s">
        <v>434</v>
      </c>
      <c r="C26" s="469">
        <v>997.83</v>
      </c>
      <c r="D26" s="416"/>
      <c r="E26" s="424">
        <f t="shared" si="1"/>
        <v>997.83</v>
      </c>
      <c r="F26" s="420"/>
      <c r="H26" s="420"/>
    </row>
    <row r="27" spans="1:8" ht="20.25" customHeight="1">
      <c r="A27" s="417" t="s">
        <v>281</v>
      </c>
      <c r="B27" s="637" t="s">
        <v>436</v>
      </c>
      <c r="C27" s="469">
        <v>261.8</v>
      </c>
      <c r="D27" s="416"/>
      <c r="E27" s="424">
        <f t="shared" si="1"/>
        <v>261.8</v>
      </c>
      <c r="F27" s="420"/>
      <c r="H27" s="420"/>
    </row>
    <row r="28" spans="1:8" ht="20.25" customHeight="1">
      <c r="A28" s="417" t="s">
        <v>426</v>
      </c>
      <c r="B28" s="637" t="s">
        <v>541</v>
      </c>
      <c r="C28" s="469">
        <v>0</v>
      </c>
      <c r="D28" s="416">
        <v>258.64</v>
      </c>
      <c r="E28" s="424">
        <f t="shared" si="1"/>
        <v>258.64</v>
      </c>
      <c r="F28" s="420"/>
      <c r="H28" s="420"/>
    </row>
    <row r="29" spans="1:7" s="426" customFormat="1" ht="21.75" customHeight="1">
      <c r="A29" s="425"/>
      <c r="B29" s="639" t="s">
        <v>342</v>
      </c>
      <c r="C29" s="418">
        <f>SUM(C7:C28)</f>
        <v>7206689.4</v>
      </c>
      <c r="D29" s="416">
        <f>SUM(D7:D28)</f>
        <v>0</v>
      </c>
      <c r="E29" s="418">
        <f>SUM(E7:E28)</f>
        <v>7206689.4</v>
      </c>
      <c r="F29" s="429">
        <v>7206689.4</v>
      </c>
      <c r="G29" s="431">
        <f>F29-E29</f>
        <v>0</v>
      </c>
    </row>
    <row r="30" spans="1:7" ht="37.5" customHeight="1">
      <c r="A30" s="417" t="s">
        <v>511</v>
      </c>
      <c r="B30" s="637" t="s">
        <v>344</v>
      </c>
      <c r="C30" s="415">
        <v>150000</v>
      </c>
      <c r="D30" s="416"/>
      <c r="E30" s="415">
        <f>C30+D30</f>
        <v>150000</v>
      </c>
      <c r="F30" s="430"/>
      <c r="G30" s="420"/>
    </row>
    <row r="31" spans="1:7" ht="26.25" customHeight="1">
      <c r="A31" s="418"/>
      <c r="B31" s="419" t="s">
        <v>343</v>
      </c>
      <c r="C31" s="418">
        <f>C30+C29</f>
        <v>7356689.4</v>
      </c>
      <c r="D31" s="416">
        <f>D30+D29</f>
        <v>0</v>
      </c>
      <c r="E31" s="418">
        <f>E30+E29</f>
        <v>7356689.4</v>
      </c>
      <c r="F31" s="429">
        <v>7356248.8</v>
      </c>
      <c r="G31" s="420"/>
    </row>
    <row r="32" ht="24" customHeight="1">
      <c r="G32" s="420"/>
    </row>
  </sheetData>
  <sheetProtection/>
  <mergeCells count="6">
    <mergeCell ref="A3:E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kazanceva</cp:lastModifiedBy>
  <cp:lastPrinted>2023-10-30T23:49:30Z</cp:lastPrinted>
  <dcterms:created xsi:type="dcterms:W3CDTF">1996-10-08T23:32:33Z</dcterms:created>
  <dcterms:modified xsi:type="dcterms:W3CDTF">2023-12-13T22:02:15Z</dcterms:modified>
  <cp:category/>
  <cp:version/>
  <cp:contentType/>
  <cp:contentStatus/>
</cp:coreProperties>
</file>