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898" activeTab="3"/>
  </bookViews>
  <sheets>
    <sheet name="1. АМП" sheetId="1" r:id="rId1"/>
    <sheet name="1.1. ПРОФ.МЕРОПРИЯТИЯ" sheetId="2" r:id="rId2"/>
    <sheet name="1.2. Диспансерное наблюдение" sheetId="3" r:id="rId3"/>
    <sheet name="1.3. ИССЛЕДОВАНИЯ" sheetId="4" r:id="rId4"/>
    <sheet name="2. КС" sheetId="5" r:id="rId5"/>
    <sheet name="3. ДС" sheetId="6" r:id="rId6"/>
    <sheet name="4. СМП" sheetId="7" r:id="rId7"/>
    <sheet name="5. УСЛУГИ ДИАЛИЗА" sheetId="8" r:id="rId8"/>
    <sheet name="6. Объем фин.обеспечения " sheetId="9" r:id="rId9"/>
    <sheet name="10. объём доп. фед. средств" sheetId="10" state="hidden" r:id="rId10"/>
  </sheets>
  <externalReferences>
    <externalReference r:id="rId13"/>
  </externalReferences>
  <definedNames>
    <definedName name="_xlnm._FilterDatabase" localSheetId="5" hidden="1">'3. ДС'!$A$8:$Q$148</definedName>
    <definedName name="_xlnm.Print_Titles" localSheetId="0">'1. АМП'!$9:$11</definedName>
    <definedName name="_xlnm.Print_Titles" localSheetId="3">'1.3. ИССЛЕДОВАНИЯ'!$6:$7</definedName>
    <definedName name="_xlnm.Print_Titles" localSheetId="4">'2. КС'!$6:$6</definedName>
    <definedName name="_xlnm.Print_Titles" localSheetId="5">'3. ДС'!$7:$8</definedName>
    <definedName name="_xlnm.Print_Area" localSheetId="0">'1. АМП'!$A$1:$F$365</definedName>
    <definedName name="_xlnm.Print_Area" localSheetId="1">'1.1. ПРОФ.МЕРОПРИЯТИЯ'!$A$1:$I$22</definedName>
    <definedName name="_xlnm.Print_Area" localSheetId="3">'1.3. ИССЛЕДОВАНИЯ'!$A$1:$M$72</definedName>
    <definedName name="_xlnm.Print_Area" localSheetId="4">'2. КС'!$A$1:$D$190</definedName>
    <definedName name="_xlnm.Print_Area" localSheetId="5">'3. ДС'!$A$1:$F$140</definedName>
    <definedName name="_xlnm.Print_Area" localSheetId="6">'4. СМП'!$A$1:$C$13</definedName>
    <definedName name="_xlnm.Print_Area" localSheetId="7">'5. УСЛУГИ ДИАЛИЗА'!$A$1:$J$29</definedName>
    <definedName name="_xlnm.Print_Area" localSheetId="8">'6. Объем фин.обеспечения '!$A$1:$E$30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B73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14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<sst xmlns="http://schemas.openxmlformats.org/spreadsheetml/2006/main" count="769" uniqueCount="507">
  <si>
    <t>Терапия</t>
  </si>
  <si>
    <t>Урология</t>
  </si>
  <si>
    <t>Офтальмология</t>
  </si>
  <si>
    <t>Неврология</t>
  </si>
  <si>
    <t>НАИМЕНОВАНИЕ СПЕЦИАЛЬНОСТИ</t>
  </si>
  <si>
    <t>Эндокринология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</si>
  <si>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</si>
  <si>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</si>
  <si>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</si>
  <si>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</si>
  <si>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</si>
  <si>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</si>
  <si>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</si>
  <si>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</si>
  <si>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</si>
  <si>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</si>
  <si>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</si>
  <si>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</si>
  <si>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</si>
  <si>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</si>
  <si>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</si>
  <si>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</si>
  <si>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</si>
  <si>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</si>
  <si>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</si>
  <si>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</si>
  <si>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</si>
  <si>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</si>
  <si>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</si>
  <si>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</si>
  <si>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 xml:space="preserve">Патология новорожденных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</si>
  <si>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</si>
  <si>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</si>
  <si>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</si>
  <si>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</si>
  <si>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</si>
  <si>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</si>
  <si>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</si>
  <si>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</si>
  <si>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</si>
  <si>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</si>
  <si>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ОГБУЗ "Магаданский родильный дом"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</si>
  <si>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</si>
  <si>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</si>
  <si>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</si>
  <si>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</si>
  <si>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</si>
  <si>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</si>
  <si>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</si>
  <si>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</si>
  <si>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</si>
  <si>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</si>
  <si>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</si>
  <si>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</si>
  <si>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</si>
  <si>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</si>
  <si>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ООО "ЭКО-ЦЕНТР"</t>
  </si>
  <si>
    <t>Центр дерматовенерологии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</si>
  <si>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</si>
  <si>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</si>
  <si>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</si>
  <si>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</si>
  <si>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</si>
  <si>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</si>
  <si>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</si>
  <si>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</si>
  <si>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</si>
  <si>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</si>
  <si>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</si>
  <si>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</si>
  <si>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Оториноларингология</t>
  </si>
  <si>
    <t>Медицинская реабилитация</t>
  </si>
  <si>
    <t>Гериатрия</t>
  </si>
  <si>
    <t>Детская кардиология</t>
  </si>
  <si>
    <t>Детская эндокринология</t>
  </si>
  <si>
    <t>№ п/п</t>
  </si>
  <si>
    <t>Аллергология-иммунология</t>
  </si>
  <si>
    <t>Отоларингология</t>
  </si>
  <si>
    <t>Аллергология-имуннология</t>
  </si>
  <si>
    <t>Инфекционные заболевания</t>
  </si>
  <si>
    <t>Средний медперсонал, ведущий самостоятельный прием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</si>
  <si>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</si>
  <si>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</si>
  <si>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</si>
  <si>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</si>
  <si>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</si>
  <si>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</si>
  <si>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</si>
  <si>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</si>
  <si>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</si>
  <si>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</si>
  <si>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</si>
  <si>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</si>
  <si>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</si>
  <si>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</si>
  <si>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</si>
  <si>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</si>
  <si>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</si>
  <si>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</si>
  <si>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</si>
  <si>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</si>
  <si>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</si>
  <si>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</si>
  <si>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</si>
  <si>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</si>
  <si>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</si>
  <si>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</si>
  <si>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ООО "Кристалл"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</si>
  <si>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</si>
  <si>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</si>
  <si>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</si>
  <si>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</si>
  <si>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</si>
  <si>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</si>
  <si>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</si>
  <si>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</si>
  <si>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</si>
  <si>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</si>
  <si>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</si>
  <si>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</si>
  <si>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</si>
  <si>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</si>
  <si>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</si>
  <si>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</si>
  <si>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</si>
  <si>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</si>
  <si>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</si>
  <si>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</si>
  <si>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</si>
  <si>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</si>
  <si>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</si>
  <si>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</si>
  <si>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</si>
  <si>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</si>
  <si>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</si>
  <si>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</si>
  <si>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</si>
  <si>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</si>
  <si>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</si>
  <si>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</si>
  <si>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</si>
  <si>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</si>
  <si>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</si>
  <si>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</si>
  <si>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</si>
  <si>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</si>
  <si>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</si>
  <si>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</si>
  <si>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</si>
  <si>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</si>
  <si>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</si>
  <si>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</si>
  <si>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</si>
  <si>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</si>
  <si>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</si>
  <si>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</si>
  <si>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</si>
  <si>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</si>
  <si>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</si>
  <si>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</si>
  <si>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</si>
  <si>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</si>
  <si>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</si>
  <si>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</si>
  <si>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</si>
  <si>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</si>
  <si>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</si>
  <si>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</si>
  <si>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</si>
  <si>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</si>
  <si>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</si>
  <si>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</si>
  <si>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</si>
  <si>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</si>
  <si>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</si>
  <si>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</si>
  <si>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</si>
  <si>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</si>
  <si>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</si>
  <si>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</si>
  <si>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</si>
  <si>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</si>
  <si>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</si>
  <si>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</si>
  <si>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</si>
  <si>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</si>
  <si>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</si>
  <si>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</si>
  <si>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</si>
  <si>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</si>
  <si>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</si>
  <si>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</si>
  <si>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</si>
  <si>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</si>
  <si>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</si>
  <si>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</si>
  <si>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</si>
  <si>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</si>
  <si>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</si>
  <si>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</si>
  <si>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</si>
  <si>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</si>
  <si>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</si>
  <si>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</si>
  <si>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</si>
  <si>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</si>
  <si>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Средний медицинский персонал, ведущий самостоятельный приём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</si>
  <si>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</si>
  <si>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</si>
  <si>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</si>
  <si>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</si>
  <si>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</si>
  <si>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</si>
  <si>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</si>
  <si>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</si>
  <si>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>Стоматология, в том числе:</t>
  </si>
  <si>
    <t xml:space="preserve"> - для взрослых</t>
  </si>
  <si>
    <t xml:space="preserve"> - для детей</t>
  </si>
  <si>
    <t>Центр здоровья, в том числе: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</si>
  <si>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</si>
  <si>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</si>
  <si>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</si>
  <si>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</si>
  <si>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Средний медицинский персонал</t>
  </si>
  <si>
    <t>Центр амбулаторной онкологической помощи:</t>
  </si>
  <si>
    <t>Итого поликлиника: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</si>
  <si>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</si>
  <si>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</si>
  <si>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</si>
  <si>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</si>
  <si>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</si>
  <si>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</si>
  <si>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</si>
  <si>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</si>
  <si>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18.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</si>
  <si>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</si>
  <si>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</si>
  <si>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</si>
  <si>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</si>
  <si>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</si>
  <si>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</si>
  <si>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</si>
  <si>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</si>
  <si>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</si>
  <si>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</si>
  <si>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</si>
  <si>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>2. ГБУЗ "Магаданская областная детская больница"</t>
  </si>
  <si>
    <t>3. ОГБУЗ "Магаданский родильный дом"</t>
  </si>
  <si>
    <t>4. ГАУ РС (Я) "Якутская республиканская офтальмологическая клиническая больница"</t>
  </si>
  <si>
    <t xml:space="preserve">4. МОГБУЗ "Городская поликлиника" 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</si>
  <si>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</si>
  <si>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</si>
  <si>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</si>
  <si>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</si>
  <si>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</si>
  <si>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</si>
  <si>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</si>
  <si>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</si>
  <si>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</si>
  <si>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</si>
  <si>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</si>
  <si>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</si>
  <si>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</si>
  <si>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</si>
  <si>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</si>
  <si>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</si>
  <si>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</si>
  <si>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</si>
  <si>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</si>
  <si>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</si>
  <si>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</si>
  <si>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</si>
  <si>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</si>
  <si>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</si>
  <si>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</si>
  <si>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</si>
  <si>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</si>
  <si>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</si>
  <si>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</si>
  <si>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</si>
  <si>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</si>
  <si>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</si>
  <si>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</si>
  <si>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</si>
  <si>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</si>
  <si>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</si>
  <si>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</si>
  <si>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21</t>
  </si>
  <si>
    <t xml:space="preserve">Дерматология </t>
  </si>
  <si>
    <t>Итого:</t>
  </si>
  <si>
    <t>в т.ч. онкогематология</t>
  </si>
  <si>
    <t>Медицинская реабилитация (дети)</t>
  </si>
  <si>
    <t xml:space="preserve">               5. ООО "МИР" г.Магадан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</si>
  <si>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</si>
  <si>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</si>
  <si>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</si>
  <si>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</si>
  <si>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</si>
  <si>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</si>
  <si>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</si>
  <si>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</si>
  <si>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</si>
  <si>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</si>
  <si>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</si>
  <si>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</si>
  <si>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</si>
  <si>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</si>
  <si>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</si>
  <si>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5. ООО "ДАНТИСТ XXI ВЕК"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</si>
  <si>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</si>
  <si>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</si>
  <si>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</si>
  <si>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</si>
  <si>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</si>
  <si>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</si>
  <si>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</si>
  <si>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</si>
  <si>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</si>
  <si>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</si>
  <si>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</si>
  <si>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</si>
  <si>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</si>
  <si>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</si>
  <si>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</si>
  <si>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</si>
  <si>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</si>
  <si>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</si>
  <si>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</si>
  <si>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</si>
  <si>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Маммография</t>
  </si>
  <si>
    <t>ГБУЗ "МОДФиИЗ"</t>
  </si>
  <si>
    <t>ГАУ РС (Я) "ЯРОКБ"</t>
  </si>
  <si>
    <t>ГБУЗ "МОДФ и ИЗ"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</si>
  <si>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</si>
  <si>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</si>
  <si>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</si>
  <si>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</si>
  <si>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</si>
  <si>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</si>
  <si>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</si>
  <si>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</si>
  <si>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</si>
  <si>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</si>
  <si>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</si>
  <si>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</si>
  <si>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</si>
  <si>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</si>
  <si>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</si>
  <si>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10.2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</si>
  <si>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</si>
  <si>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</si>
  <si>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</si>
  <si>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</si>
  <si>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</si>
  <si>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</si>
  <si>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2023 году 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</si>
  <si>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t>
  </si>
  <si>
    <t>Детская урология-адрология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</si>
  <si>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</si>
  <si>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</si>
  <si>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</si>
  <si>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</si>
  <si>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</si>
  <si>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</si>
  <si>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</si>
  <si>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</si>
  <si>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</si>
  <si>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</si>
  <si>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</si>
  <si>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7. ООО "Приморский центр микрохирургии глаза"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</si>
  <si>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</si>
  <si>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</si>
  <si>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</si>
  <si>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</si>
  <si>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</si>
  <si>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</si>
  <si>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</si>
  <si>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</si>
  <si>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</si>
  <si>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</si>
  <si>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из них,                                                                                               1) профилактические мероприятия (комплексные посещения), в том числе: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</si>
  <si>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</si>
  <si>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</si>
  <si>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</si>
  <si>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</si>
  <si>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</si>
  <si>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</si>
  <si>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</si>
  <si>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</si>
  <si>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</si>
  <si>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</si>
  <si>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 xml:space="preserve">ОГБУЗ "Магаданский родильный дом " </t>
  </si>
  <si>
    <t>Итого</t>
  </si>
  <si>
    <t xml:space="preserve">ГБУЗ "Магаданская областная детская больница" 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</si>
  <si>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</si>
  <si>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</si>
  <si>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</si>
  <si>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</si>
  <si>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</si>
  <si>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1.3.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</si>
  <si>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1.2. ДИСПАНСЕРНОЕ НАБЛЮДЕНИЕ</t>
  </si>
  <si>
    <t>1.1. ОБЪЁМЫ ПО ПРОФИЛАКТИЧЕСКИМ МЕРОПРИЯТИЯМ</t>
  </si>
  <si>
    <t>Таблица 5</t>
  </si>
  <si>
    <t>1) профилактические мероприятия (комплексные посещения), всего, в том числе:</t>
  </si>
  <si>
    <t>2. ГБУЗ "МАГАДАНСКАЯ ОБЛАСТНАЯ ДЕТСКАЯ  БОЛЬНИЦА"</t>
  </si>
  <si>
    <t>3. ОГБУЗ "МАГАДАНСКИЙ РОДИЛЬНЫЙ ДОМ" (ЖЕНСКАЯ КОНСУЛЬТАЦИЯ)</t>
  </si>
  <si>
    <t xml:space="preserve">4. МОГБУЗ "ГОРОДСКАЯ ПОЛИКЛИНИКА" </t>
  </si>
  <si>
    <t>5. ООО "ВИТА"</t>
  </si>
  <si>
    <t>6. ООО "ВИТА-ДЕНТ"</t>
  </si>
  <si>
    <t>7. ООО "ДАНТИСТ"</t>
  </si>
  <si>
    <t>8. ООО "ДАНТИСТ-ПЛЮС"</t>
  </si>
  <si>
    <t>9. ООО "ДАНТИСТ XXI ВЕК"</t>
  </si>
  <si>
    <t>10. ООО ""СТОМАТОЛОГИЧЕСКИЙ КАБИНЕТ "ДОВЕРИЕ"</t>
  </si>
  <si>
    <t>11. ООО "МОЙ ДОКТОР"</t>
  </si>
  <si>
    <t>12.  ООО "МИР"</t>
  </si>
  <si>
    <t>13.  ООО "Приморский центр микрохирургии глаза"</t>
  </si>
  <si>
    <t>14. Объём медицинской помощи, предусмотренный на лечениеграждан застрахованных на территории Магаданской области в других субъектах Российской Федерации (МТР)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</si>
  <si>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</si>
  <si>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</si>
  <si>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</si>
  <si>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</si>
  <si>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</si>
  <si>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</si>
  <si>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</si>
  <si>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</si>
  <si>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</si>
  <si>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</si>
  <si>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</si>
  <si>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</si>
  <si>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</si>
  <si>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</si>
  <si>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</si>
  <si>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</si>
  <si>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</si>
  <si>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</si>
  <si>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</si>
  <si>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</si>
  <si>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</si>
  <si>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ООО "Приморский центр микрохирургии глаза"</t>
  </si>
  <si>
    <t>22</t>
  </si>
  <si>
    <t>Объем финансового обеспечения на 2023 год                          (до изменений)</t>
  </si>
  <si>
    <t>Объем финансового обеспечения на 2023 год с учётом изменений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</si>
  <si>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</si>
  <si>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</si>
  <si>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</si>
  <si>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</si>
  <si>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</si>
  <si>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</si>
  <si>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</si>
  <si>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</si>
  <si>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</si>
  <si>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</si>
  <si>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</si>
  <si>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</si>
  <si>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</si>
  <si>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</si>
  <si>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</si>
  <si>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</si>
  <si>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</si>
  <si>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</si>
  <si>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</si>
  <si>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</si>
  <si>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</si>
  <si>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</si>
  <si>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</si>
  <si>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</si>
  <si>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</si>
  <si>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</si>
  <si>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</si>
  <si>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</si>
  <si>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</si>
  <si>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</si>
  <si>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</si>
  <si>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</si>
  <si>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</si>
  <si>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</si>
  <si>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</si>
  <si>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</si>
  <si>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</si>
  <si>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</si>
  <si>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</si>
  <si>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Медицинскяа реабилитация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</si>
  <si>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</si>
  <si>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</si>
  <si>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</si>
  <si>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</si>
  <si>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</si>
  <si>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</si>
  <si>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</si>
  <si>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</si>
  <si>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</si>
  <si>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</si>
  <si>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</si>
  <si>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</si>
  <si>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</si>
  <si>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</si>
  <si>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>ТПОМС от 31.03.2023 года № 04-01</t>
  </si>
  <si>
    <t>ИТОГО ГБУЗ "МОДБ"</t>
  </si>
  <si>
    <t>ИТОГО ОГБУЗ "Магаданский родильный дом"</t>
  </si>
  <si>
    <t>ВСЕГО ГБУЗ "МОБ":</t>
  </si>
  <si>
    <t>Сердечно-сосудистая  хирургия</t>
  </si>
  <si>
    <t>Детская эндокринология, в том числе: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</si>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</sst>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</numFmts>
  <fonts count="17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i/>
      <sz val="11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60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2"/>
      <color indexed="12"/>
      <name val="Times New Roman"/>
      <family val="1"/>
    </font>
    <font>
      <sz val="12"/>
      <color indexed="60"/>
      <name val="Times New Roman"/>
      <family val="1"/>
    </font>
    <font>
      <i/>
      <sz val="11"/>
      <color indexed="60"/>
      <name val="Times New Roman"/>
      <family val="1"/>
    </font>
    <font>
      <sz val="9"/>
      <color indexed="12"/>
      <name val="Times New Roman"/>
      <family val="1"/>
    </font>
    <font>
      <b/>
      <sz val="9"/>
      <color indexed="12"/>
      <name val="Times New Roman"/>
      <family val="1"/>
    </font>
    <font>
      <i/>
      <sz val="10"/>
      <color indexed="12"/>
      <name val="Times New Roman"/>
      <family val="1"/>
    </font>
    <font>
      <sz val="12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i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i/>
      <sz val="12"/>
      <color rgb="FF0000FF"/>
      <name val="Times New Roman"/>
      <family val="1"/>
    </font>
    <font>
      <i/>
      <sz val="11"/>
      <color rgb="FF0000FF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C00000"/>
      <name val="Arial"/>
      <family val="2"/>
    </font>
    <font>
      <b/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sz val="12"/>
      <color rgb="FFC00000"/>
      <name val="Times New Roman"/>
      <family val="1"/>
    </font>
    <font>
      <i/>
      <sz val="11"/>
      <color rgb="FFC00000"/>
      <name val="Times New Roman"/>
      <family val="1"/>
    </font>
    <font>
      <sz val="9"/>
      <color rgb="FF0000FF"/>
      <name val="Times New Roman"/>
      <family val="1"/>
    </font>
    <font>
      <b/>
      <sz val="9"/>
      <color rgb="FF0000FF"/>
      <name val="Times New Roman"/>
      <family val="1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sz val="12"/>
      <color rgb="FF0000FF"/>
      <name val="Times New Roman"/>
      <family val="1"/>
    </font>
    <font>
      <sz val="11"/>
      <color theme="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i/>
      <sz val="12"/>
      <color rgb="FFC00000"/>
      <name val="Times New Roman"/>
      <family val="1"/>
    </font>
    <font>
      <sz val="12"/>
      <color rgb="FFFF0000"/>
      <name val="Times New Roman"/>
      <family val="1"/>
    </font>
    <font>
      <sz val="12"/>
      <color rgb="FF0000FF"/>
      <name val="Arial"/>
      <family val="2"/>
    </font>
    <font>
      <b/>
      <sz val="11"/>
      <color theme="0"/>
      <name val="Times New Roman"/>
      <family val="1"/>
    </font>
    <font>
      <b/>
      <sz val="13"/>
      <color rgb="FF0000FF"/>
      <name val="Times New Roman"/>
      <family val="1"/>
    </font>
    <font>
      <b/>
      <sz val="9"/>
      <color theme="1"/>
      <name val="Times New Roman"/>
      <family val="1"/>
    </font>
    <font>
      <b/>
      <sz val="8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3" borderId="0" applyNumberFormat="0" applyBorder="0" applyAlignment="0" applyProtection="0"/>
    <xf numFmtId="0" fontId="116" fillId="3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3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47" fillId="11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47" fillId="11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5" borderId="0" applyNumberFormat="0" applyBorder="0" applyAlignment="0" applyProtection="0"/>
    <xf numFmtId="0" fontId="116" fillId="5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5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47" fillId="9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47" fillId="9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6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47" fillId="14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47" fillId="14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3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7" borderId="0" applyNumberFormat="0" applyBorder="0" applyAlignment="0" applyProtection="0"/>
    <xf numFmtId="0" fontId="116" fillId="7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7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47" fillId="11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47" fillId="11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5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47" fillId="8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47" fillId="8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47" fillId="9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47" fillId="9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47" fillId="22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47" fillId="22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4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47" fillId="20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47" fillId="20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5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1" borderId="0" applyNumberFormat="0" applyBorder="0" applyAlignment="0" applyProtection="0"/>
    <xf numFmtId="0" fontId="116" fillId="21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1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47" fillId="27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47" fillId="27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6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47" fillId="22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47" fillId="22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8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47" fillId="1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47" fillId="1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29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47" fillId="9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47" fillId="9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116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17" fillId="35" borderId="0" applyNumberFormat="0" applyBorder="0" applyAlignment="0" applyProtection="0"/>
    <xf numFmtId="0" fontId="117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7" fillId="36" borderId="0" applyNumberFormat="0" applyBorder="0" applyAlignment="0" applyProtection="0"/>
    <xf numFmtId="0" fontId="117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37" borderId="0" applyNumberFormat="0" applyBorder="0" applyAlignment="0" applyProtection="0"/>
    <xf numFmtId="0" fontId="117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38" borderId="0" applyNumberFormat="0" applyBorder="0" applyAlignment="0" applyProtection="0"/>
    <xf numFmtId="0" fontId="117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17" fillId="39" borderId="0" applyNumberFormat="0" applyBorder="0" applyAlignment="0" applyProtection="0"/>
    <xf numFmtId="0" fontId="117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40" borderId="0" applyNumberFormat="0" applyBorder="0" applyAlignment="0" applyProtection="0"/>
    <xf numFmtId="0" fontId="117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17" fillId="46" borderId="0" applyNumberFormat="0" applyBorder="0" applyAlignment="0" applyProtection="0"/>
    <xf numFmtId="0" fontId="117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7" fillId="47" borderId="0" applyNumberFormat="0" applyBorder="0" applyAlignment="0" applyProtection="0"/>
    <xf numFmtId="0" fontId="117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17" fillId="48" borderId="0" applyNumberFormat="0" applyBorder="0" applyAlignment="0" applyProtection="0"/>
    <xf numFmtId="0" fontId="117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17" fillId="49" borderId="0" applyNumberFormat="0" applyBorder="0" applyAlignment="0" applyProtection="0"/>
    <xf numFmtId="0" fontId="117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17" fillId="50" borderId="0" applyNumberFormat="0" applyBorder="0" applyAlignment="0" applyProtection="0"/>
    <xf numFmtId="0" fontId="117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17" fillId="51" borderId="0" applyNumberFormat="0" applyBorder="0" applyAlignment="0" applyProtection="0"/>
    <xf numFmtId="0" fontId="117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18" fillId="52" borderId="16" applyNumberFormat="0" applyAlignment="0" applyProtection="0"/>
    <xf numFmtId="0" fontId="118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19" fillId="53" borderId="17" applyNumberFormat="0" applyAlignment="0" applyProtection="0"/>
    <xf numFmtId="0" fontId="119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20" fillId="53" borderId="16" applyNumberFormat="0" applyAlignment="0" applyProtection="0"/>
    <xf numFmtId="0" fontId="120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22" fillId="0" borderId="18" applyNumberFormat="0" applyFill="0" applyAlignment="0" applyProtection="0"/>
    <xf numFmtId="0" fontId="122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23" fillId="0" borderId="20" applyNumberFormat="0" applyFill="0" applyAlignment="0" applyProtection="0"/>
    <xf numFmtId="0" fontId="123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24" fillId="0" borderId="21" applyNumberFormat="0" applyFill="0" applyAlignment="0" applyProtection="0"/>
    <xf numFmtId="0" fontId="124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5" fillId="0" borderId="23" applyNumberFormat="0" applyFill="0" applyAlignment="0" applyProtection="0"/>
    <xf numFmtId="0" fontId="125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26" fillId="54" borderId="25" applyNumberFormat="0" applyAlignment="0" applyProtection="0"/>
    <xf numFmtId="0" fontId="126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8" fillId="55" borderId="0" applyNumberFormat="0" applyBorder="0" applyAlignment="0" applyProtection="0"/>
    <xf numFmtId="0" fontId="128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37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37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29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4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3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5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4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8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31" fillId="0" borderId="0" applyNumberFormat="0" applyFill="0" applyBorder="0" applyAlignment="0" applyProtection="0"/>
    <xf numFmtId="0" fontId="132" fillId="56" borderId="0" applyNumberFormat="0" applyBorder="0" applyAlignment="0" applyProtection="0"/>
    <xf numFmtId="0" fontId="132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34" fillId="0" borderId="27" applyNumberFormat="0" applyFill="0" applyAlignment="0" applyProtection="0"/>
    <xf numFmtId="0" fontId="134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36" fillId="58" borderId="0" applyNumberFormat="0" applyBorder="0" applyAlignment="0" applyProtection="0"/>
    <xf numFmtId="0" fontId="136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732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3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55" xfId="0" applyFont="1" applyFill="1" applyBorder="1" applyAlignment="1">
      <alignment horizontal="center" vertical="center" wrapText="1"/>
    </xf>
    <xf numFmtId="0" fontId="2" fillId="11" borderId="56" xfId="0" applyFont="1" applyFill="1" applyBorder="1" applyAlignment="1">
      <alignment vertical="center" wrapText="1"/>
    </xf>
    <xf numFmtId="0" fontId="2" fillId="11" borderId="57" xfId="0" applyFont="1" applyFill="1" applyBorder="1" applyAlignment="1">
      <alignment vertical="center" wrapText="1"/>
    </xf>
    <xf numFmtId="0" fontId="3" fillId="11" borderId="58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5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horizontal="center" vertical="center" wrapText="1"/>
    </xf>
    <xf numFmtId="0" fontId="2" fillId="11" borderId="60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1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vertical="center" wrapText="1"/>
    </xf>
    <xf numFmtId="3" fontId="72" fillId="11" borderId="29" xfId="1507" applyNumberFormat="1" applyFont="1" applyFill="1" applyBorder="1" applyAlignment="1">
      <alignment vertical="center" wrapText="1"/>
      <protection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17" borderId="29" xfId="0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0" fontId="10" fillId="17" borderId="63" xfId="0" applyFont="1" applyFill="1" applyBorder="1" applyAlignment="1">
      <alignment vertical="center" wrapText="1"/>
    </xf>
    <xf numFmtId="3" fontId="4" fillId="17" borderId="63" xfId="0" applyNumberFormat="1" applyFont="1" applyFill="1" applyBorder="1" applyAlignment="1">
      <alignment vertical="center" wrapText="1"/>
    </xf>
    <xf numFmtId="0" fontId="2" fillId="11" borderId="64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0" fontId="70" fillId="17" borderId="29" xfId="1507" applyFont="1" applyFill="1" applyBorder="1" applyAlignment="1">
      <alignment horizontal="center"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2" fillId="17" borderId="29" xfId="0" applyFont="1" applyFill="1" applyBorder="1" applyAlignment="1">
      <alignment vertical="center" wrapText="1"/>
    </xf>
    <xf numFmtId="0" fontId="3" fillId="17" borderId="29" xfId="0" applyFont="1" applyFill="1" applyBorder="1" applyAlignment="1">
      <alignment vertical="center" wrapText="1"/>
    </xf>
    <xf numFmtId="0" fontId="67" fillId="17" borderId="29" xfId="1507" applyFont="1" applyFill="1" applyBorder="1" applyAlignment="1">
      <alignment horizontal="center" vertical="center" wrapText="1"/>
      <protection/>
    </xf>
    <xf numFmtId="3" fontId="70" fillId="17" borderId="29" xfId="1507" applyNumberFormat="1" applyFont="1" applyFill="1" applyBorder="1" applyAlignment="1">
      <alignment vertical="center" wrapText="1"/>
      <protection/>
    </xf>
    <xf numFmtId="3" fontId="3" fillId="17" borderId="29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1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37" fillId="0" borderId="31" xfId="1507" applyFont="1" applyBorder="1" applyAlignment="1">
      <alignment horizontal="center" vertical="center" wrapText="1"/>
      <protection/>
    </xf>
    <xf numFmtId="0" fontId="137" fillId="0" borderId="29" xfId="1507" applyFont="1" applyBorder="1" applyAlignment="1">
      <alignment vertical="center" wrapText="1"/>
      <protection/>
    </xf>
    <xf numFmtId="0" fontId="137" fillId="17" borderId="31" xfId="1507" applyFont="1" applyFill="1" applyBorder="1" applyAlignment="1">
      <alignment horizontal="center" vertical="center" wrapText="1"/>
      <protection/>
    </xf>
    <xf numFmtId="0" fontId="137" fillId="17" borderId="29" xfId="1507" applyFont="1" applyFill="1" applyBorder="1" applyAlignment="1">
      <alignment vertical="center" wrapText="1"/>
      <protection/>
    </xf>
    <xf numFmtId="3" fontId="1" fillId="0" borderId="0" xfId="0" applyNumberFormat="1" applyFont="1" applyAlignment="1">
      <alignment vertical="center" wrapText="1"/>
    </xf>
    <xf numFmtId="16" fontId="67" fillId="59" borderId="29" xfId="1507" applyNumberFormat="1" applyFont="1" applyFill="1" applyBorder="1" applyAlignment="1">
      <alignment horizontal="center" vertical="center" wrapText="1"/>
      <protection/>
    </xf>
    <xf numFmtId="0" fontId="7" fillId="59" borderId="29" xfId="1507" applyFont="1" applyFill="1" applyBorder="1" applyAlignment="1">
      <alignment vertical="center" wrapText="1"/>
      <protection/>
    </xf>
    <xf numFmtId="0" fontId="3" fillId="59" borderId="29" xfId="0" applyFont="1" applyFill="1" applyBorder="1" applyAlignment="1">
      <alignment vertical="center" wrapText="1"/>
    </xf>
    <xf numFmtId="0" fontId="2" fillId="59" borderId="29" xfId="0" applyFont="1" applyFill="1" applyBorder="1" applyAlignment="1">
      <alignment vertical="center" wrapText="1"/>
    </xf>
    <xf numFmtId="0" fontId="1" fillId="59" borderId="0" xfId="0" applyFont="1" applyFill="1" applyAlignment="1">
      <alignment vertical="center" wrapText="1"/>
    </xf>
    <xf numFmtId="0" fontId="137" fillId="0" borderId="31" xfId="1507" applyFont="1" applyBorder="1" applyAlignment="1">
      <alignment horizontal="left" vertical="center" wrapText="1"/>
      <protection/>
    </xf>
    <xf numFmtId="0" fontId="3" fillId="11" borderId="29" xfId="0" applyFont="1" applyFill="1" applyBorder="1" applyAlignment="1">
      <alignment horizontal="center" vertical="center" wrapText="1"/>
    </xf>
    <xf numFmtId="0" fontId="10" fillId="17" borderId="64" xfId="0" applyFont="1" applyFill="1" applyBorder="1" applyAlignment="1">
      <alignment horizontal="center" vertical="center" wrapText="1"/>
    </xf>
    <xf numFmtId="0" fontId="10" fillId="17" borderId="29" xfId="0" applyFont="1" applyFill="1" applyBorder="1" applyAlignment="1">
      <alignment horizontal="center" vertical="center" wrapText="1"/>
    </xf>
    <xf numFmtId="0" fontId="3" fillId="17" borderId="65" xfId="0" applyFont="1" applyFill="1" applyBorder="1" applyAlignment="1">
      <alignment horizontal="center" vertical="center" wrapText="1"/>
    </xf>
    <xf numFmtId="0" fontId="10" fillId="17" borderId="66" xfId="0" applyFont="1" applyFill="1" applyBorder="1" applyAlignment="1">
      <alignment horizontal="center" vertical="center" wrapText="1"/>
    </xf>
    <xf numFmtId="0" fontId="33" fillId="11" borderId="61" xfId="0" applyFont="1" applyFill="1" applyBorder="1" applyAlignment="1">
      <alignment vertical="center" wrapText="1"/>
    </xf>
    <xf numFmtId="0" fontId="3" fillId="17" borderId="67" xfId="0" applyFont="1" applyFill="1" applyBorder="1" applyAlignment="1">
      <alignment horizontal="center" vertical="center" wrapText="1"/>
    </xf>
    <xf numFmtId="0" fontId="3" fillId="17" borderId="28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/>
    </xf>
    <xf numFmtId="0" fontId="3" fillId="59" borderId="0" xfId="0" applyFont="1" applyFill="1" applyAlignment="1">
      <alignment horizontal="center" vertical="center" wrapText="1"/>
    </xf>
    <xf numFmtId="0" fontId="74" fillId="59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4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Alignment="1">
      <alignment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3" fontId="33" fillId="11" borderId="68" xfId="0" applyNumberFormat="1" applyFont="1" applyFill="1" applyBorder="1" applyAlignment="1">
      <alignment horizontal="center" vertical="center" wrapText="1"/>
    </xf>
    <xf numFmtId="3" fontId="75" fillId="11" borderId="0" xfId="0" applyNumberFormat="1" applyFont="1" applyFill="1" applyBorder="1" applyAlignment="1">
      <alignment/>
    </xf>
    <xf numFmtId="0" fontId="75" fillId="11" borderId="0" xfId="0" applyFont="1" applyFill="1" applyBorder="1" applyAlignment="1">
      <alignment/>
    </xf>
    <xf numFmtId="0" fontId="75" fillId="11" borderId="0" xfId="0" applyFont="1" applyFill="1" applyAlignment="1">
      <alignment/>
    </xf>
    <xf numFmtId="0" fontId="76" fillId="11" borderId="0" xfId="0" applyFont="1" applyFill="1" applyAlignment="1">
      <alignment/>
    </xf>
    <xf numFmtId="0" fontId="76" fillId="11" borderId="0" xfId="0" applyFont="1" applyFill="1" applyBorder="1" applyAlignment="1">
      <alignment/>
    </xf>
    <xf numFmtId="0" fontId="3" fillId="11" borderId="69" xfId="0" applyFont="1" applyFill="1" applyBorder="1" applyAlignment="1">
      <alignment horizontal="center" vertical="center" wrapText="1"/>
    </xf>
    <xf numFmtId="0" fontId="2" fillId="11" borderId="70" xfId="0" applyFont="1" applyFill="1" applyBorder="1" applyAlignment="1">
      <alignment horizontal="center" vertical="center" wrapText="1"/>
    </xf>
    <xf numFmtId="0" fontId="3" fillId="11" borderId="71" xfId="0" applyFont="1" applyFill="1" applyBorder="1" applyAlignment="1">
      <alignment horizontal="center" vertical="center" wrapText="1"/>
    </xf>
    <xf numFmtId="1" fontId="76" fillId="11" borderId="0" xfId="0" applyNumberFormat="1" applyFont="1" applyFill="1" applyAlignment="1">
      <alignment/>
    </xf>
    <xf numFmtId="3" fontId="76" fillId="11" borderId="0" xfId="0" applyNumberFormat="1" applyFont="1" applyFill="1" applyAlignment="1">
      <alignment/>
    </xf>
    <xf numFmtId="0" fontId="3" fillId="11" borderId="72" xfId="0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1" fontId="3" fillId="11" borderId="72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72" xfId="0" applyNumberFormat="1" applyFont="1" applyFill="1" applyBorder="1" applyAlignment="1">
      <alignment horizontal="center" vertical="center" wrapText="1"/>
    </xf>
    <xf numFmtId="3" fontId="77" fillId="11" borderId="0" xfId="0" applyNumberFormat="1" applyFont="1" applyFill="1" applyAlignment="1">
      <alignment/>
    </xf>
    <xf numFmtId="0" fontId="77" fillId="11" borderId="0" xfId="0" applyFont="1" applyFill="1" applyAlignment="1">
      <alignment/>
    </xf>
    <xf numFmtId="0" fontId="74" fillId="11" borderId="0" xfId="0" applyFont="1" applyFill="1" applyBorder="1" applyAlignment="1">
      <alignment vertical="center" wrapText="1"/>
    </xf>
    <xf numFmtId="0" fontId="74" fillId="11" borderId="0" xfId="0" applyFont="1" applyFill="1" applyAlignment="1">
      <alignment vertical="center" wrapText="1"/>
    </xf>
    <xf numFmtId="0" fontId="138" fillId="11" borderId="45" xfId="0" applyFont="1" applyFill="1" applyBorder="1" applyAlignment="1">
      <alignment horizontal="center" vertical="center" wrapText="1"/>
    </xf>
    <xf numFmtId="0" fontId="138" fillId="11" borderId="45" xfId="0" applyFont="1" applyFill="1" applyBorder="1" applyAlignment="1">
      <alignment vertical="center" wrapText="1"/>
    </xf>
    <xf numFmtId="3" fontId="138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8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9" fillId="11" borderId="0" xfId="0" applyFont="1" applyFill="1" applyAlignment="1">
      <alignment/>
    </xf>
    <xf numFmtId="0" fontId="3" fillId="17" borderId="59" xfId="0" applyFont="1" applyFill="1" applyBorder="1" applyAlignment="1">
      <alignment horizontal="center" vertical="top" wrapText="1"/>
    </xf>
    <xf numFmtId="0" fontId="3" fillId="17" borderId="42" xfId="0" applyFont="1" applyFill="1" applyBorder="1" applyAlignment="1">
      <alignment horizontal="center" vertical="top" wrapText="1"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3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73" xfId="0" applyNumberFormat="1" applyFont="1" applyFill="1" applyBorder="1" applyAlignment="1">
      <alignment horizontal="center" vertical="center" wrapText="1"/>
    </xf>
    <xf numFmtId="3" fontId="3" fillId="11" borderId="73" xfId="0" applyNumberFormat="1" applyFont="1" applyFill="1" applyBorder="1" applyAlignment="1">
      <alignment horizontal="center" vertical="center" wrapText="1"/>
    </xf>
    <xf numFmtId="0" fontId="2" fillId="11" borderId="73" xfId="0" applyFont="1" applyFill="1" applyBorder="1" applyAlignment="1">
      <alignment horizontal="center" vertical="center" wrapText="1"/>
    </xf>
    <xf numFmtId="0" fontId="3" fillId="11" borderId="73" xfId="0" applyFont="1" applyFill="1" applyBorder="1" applyAlignment="1">
      <alignment horizontal="center" vertical="center" wrapText="1"/>
    </xf>
    <xf numFmtId="0" fontId="2" fillId="11" borderId="63" xfId="0" applyFont="1" applyFill="1" applyBorder="1" applyAlignment="1">
      <alignment horizontal="center" vertical="center" wrapText="1"/>
    </xf>
    <xf numFmtId="1" fontId="3" fillId="11" borderId="6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3" fontId="3" fillId="11" borderId="63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4" xfId="0" applyNumberFormat="1" applyFont="1" applyFill="1" applyBorder="1" applyAlignment="1">
      <alignment horizontal="center" vertical="center" wrapText="1"/>
    </xf>
    <xf numFmtId="0" fontId="3" fillId="11" borderId="74" xfId="0" applyFont="1" applyFill="1" applyBorder="1" applyAlignment="1">
      <alignment horizontal="center" vertical="center" wrapText="1"/>
    </xf>
    <xf numFmtId="3" fontId="3" fillId="11" borderId="74" xfId="0" applyNumberFormat="1" applyFont="1" applyFill="1" applyBorder="1" applyAlignment="1">
      <alignment horizontal="center" vertical="center" wrapText="1"/>
    </xf>
    <xf numFmtId="0" fontId="3" fillId="11" borderId="60" xfId="0" applyFont="1" applyFill="1" applyBorder="1" applyAlignment="1">
      <alignment horizontal="center" vertical="center" wrapText="1"/>
    </xf>
    <xf numFmtId="0" fontId="3" fillId="11" borderId="62" xfId="0" applyFont="1" applyFill="1" applyBorder="1" applyAlignment="1">
      <alignment horizontal="center" vertical="center" wrapText="1"/>
    </xf>
    <xf numFmtId="1" fontId="2" fillId="11" borderId="73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4" xfId="0" applyNumberFormat="1" applyFont="1" applyFill="1" applyBorder="1" applyAlignment="1">
      <alignment horizontal="center" vertical="center" wrapText="1"/>
    </xf>
    <xf numFmtId="3" fontId="3" fillId="11" borderId="64" xfId="0" applyNumberFormat="1" applyFont="1" applyFill="1" applyBorder="1" applyAlignment="1">
      <alignment horizontal="center" vertical="center" wrapText="1"/>
    </xf>
    <xf numFmtId="1" fontId="2" fillId="11" borderId="75" xfId="0" applyNumberFormat="1" applyFont="1" applyFill="1" applyBorder="1" applyAlignment="1">
      <alignment horizontal="center" vertical="center" wrapText="1"/>
    </xf>
    <xf numFmtId="3" fontId="3" fillId="11" borderId="75" xfId="0" applyNumberFormat="1" applyFont="1" applyFill="1" applyBorder="1" applyAlignment="1">
      <alignment horizontal="center" vertical="center" wrapText="1"/>
    </xf>
    <xf numFmtId="0" fontId="2" fillId="11" borderId="66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0" fontId="2" fillId="17" borderId="38" xfId="0" applyFont="1" applyFill="1" applyBorder="1" applyAlignment="1">
      <alignment horizontal="center" vertical="center" wrapText="1"/>
    </xf>
    <xf numFmtId="0" fontId="3" fillId="17" borderId="38" xfId="0" applyFont="1" applyFill="1" applyBorder="1" applyAlignment="1">
      <alignment vertical="center" wrapText="1"/>
    </xf>
    <xf numFmtId="1" fontId="3" fillId="17" borderId="65" xfId="0" applyNumberFormat="1" applyFont="1" applyFill="1" applyBorder="1" applyAlignment="1">
      <alignment horizontal="center" vertical="center" wrapText="1"/>
    </xf>
    <xf numFmtId="1" fontId="3" fillId="17" borderId="73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0" fontId="79" fillId="11" borderId="0" xfId="0" applyFont="1" applyFill="1" applyAlignment="1">
      <alignment vertical="center" wrapText="1"/>
    </xf>
    <xf numFmtId="0" fontId="3" fillId="17" borderId="76" xfId="0" applyFont="1" applyFill="1" applyBorder="1" applyAlignment="1">
      <alignment horizontal="center" vertical="top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138" fillId="11" borderId="32" xfId="0" applyNumberFormat="1" applyFont="1" applyFill="1" applyBorder="1" applyAlignment="1">
      <alignment horizontal="center" vertical="center" wrapText="1"/>
    </xf>
    <xf numFmtId="1" fontId="138" fillId="11" borderId="63" xfId="0" applyNumberFormat="1" applyFont="1" applyFill="1" applyBorder="1" applyAlignment="1">
      <alignment horizontal="center" vertical="center" wrapText="1"/>
    </xf>
    <xf numFmtId="3" fontId="138" fillId="11" borderId="63" xfId="0" applyNumberFormat="1" applyFont="1" applyFill="1" applyBorder="1" applyAlignment="1">
      <alignment horizontal="center" vertical="center" wrapText="1"/>
    </xf>
    <xf numFmtId="1" fontId="2" fillId="11" borderId="74" xfId="0" applyNumberFormat="1" applyFont="1" applyFill="1" applyBorder="1" applyAlignment="1">
      <alignment horizontal="center" vertical="center" wrapText="1"/>
    </xf>
    <xf numFmtId="3" fontId="11" fillId="11" borderId="63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0" fontId="3" fillId="59" borderId="38" xfId="0" applyFont="1" applyFill="1" applyBorder="1" applyAlignment="1">
      <alignment vertical="center" wrapText="1"/>
    </xf>
    <xf numFmtId="1" fontId="3" fillId="59" borderId="73" xfId="0" applyNumberFormat="1" applyFont="1" applyFill="1" applyBorder="1" applyAlignment="1">
      <alignment horizontal="center" vertical="center" wrapText="1"/>
    </xf>
    <xf numFmtId="1" fontId="3" fillId="59" borderId="41" xfId="0" applyNumberFormat="1" applyFont="1" applyFill="1" applyBorder="1" applyAlignment="1">
      <alignment horizontal="center" vertical="center" wrapText="1"/>
    </xf>
    <xf numFmtId="0" fontId="3" fillId="59" borderId="77" xfId="0" applyFont="1" applyFill="1" applyBorder="1" applyAlignment="1">
      <alignment horizontal="center" vertical="center" wrapText="1"/>
    </xf>
    <xf numFmtId="0" fontId="138" fillId="59" borderId="45" xfId="0" applyFont="1" applyFill="1" applyBorder="1" applyAlignment="1">
      <alignment vertical="center" wrapText="1"/>
    </xf>
    <xf numFmtId="1" fontId="138" fillId="59" borderId="32" xfId="0" applyNumberFormat="1" applyFont="1" applyFill="1" applyBorder="1" applyAlignment="1">
      <alignment horizontal="center" vertical="center" wrapText="1"/>
    </xf>
    <xf numFmtId="1" fontId="138" fillId="59" borderId="63" xfId="0" applyNumberFormat="1" applyFont="1" applyFill="1" applyBorder="1" applyAlignment="1">
      <alignment horizontal="center" vertical="center" wrapText="1"/>
    </xf>
    <xf numFmtId="3" fontId="138" fillId="59" borderId="63" xfId="0" applyNumberFormat="1" applyFont="1" applyFill="1" applyBorder="1" applyAlignment="1">
      <alignment horizontal="center" vertical="center" wrapText="1"/>
    </xf>
    <xf numFmtId="0" fontId="4" fillId="17" borderId="38" xfId="0" applyFont="1" applyFill="1" applyBorder="1" applyAlignment="1">
      <alignment vertical="center" wrapText="1"/>
    </xf>
    <xf numFmtId="3" fontId="3" fillId="17" borderId="73" xfId="0" applyNumberFormat="1" applyFont="1" applyFill="1" applyBorder="1" applyAlignment="1">
      <alignment horizontal="center" vertical="center" wrapText="1"/>
    </xf>
    <xf numFmtId="1" fontId="3" fillId="17" borderId="40" xfId="0" applyNumberFormat="1" applyFont="1" applyFill="1" applyBorder="1" applyAlignment="1">
      <alignment horizontal="center" vertical="center" wrapText="1"/>
    </xf>
    <xf numFmtId="0" fontId="2" fillId="59" borderId="49" xfId="0" applyFont="1" applyFill="1" applyBorder="1" applyAlignment="1">
      <alignment horizontal="center" vertical="center" wrapText="1"/>
    </xf>
    <xf numFmtId="3" fontId="7" fillId="59" borderId="64" xfId="0" applyNumberFormat="1" applyFont="1" applyFill="1" applyBorder="1" applyAlignment="1">
      <alignment vertical="center" wrapText="1"/>
    </xf>
    <xf numFmtId="3" fontId="5" fillId="59" borderId="70" xfId="0" applyNumberFormat="1" applyFont="1" applyFill="1" applyBorder="1" applyAlignment="1">
      <alignment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5" fillId="17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0" applyFont="1" applyFill="1" applyBorder="1" applyAlignment="1">
      <alignment horizontal="center" vertical="center" wrapText="1"/>
    </xf>
    <xf numFmtId="0" fontId="3" fillId="17" borderId="29" xfId="1507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8" xfId="0" applyFont="1" applyFill="1" applyBorder="1" applyAlignment="1">
      <alignment vertical="center" wrapText="1"/>
    </xf>
    <xf numFmtId="0" fontId="5" fillId="11" borderId="78" xfId="0" applyFont="1" applyFill="1" applyBorder="1" applyAlignment="1">
      <alignment vertical="center" wrapText="1"/>
    </xf>
    <xf numFmtId="0" fontId="5" fillId="11" borderId="79" xfId="0" applyFont="1" applyFill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1" fontId="5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0" fontId="4" fillId="0" borderId="80" xfId="0" applyFont="1" applyBorder="1" applyAlignment="1">
      <alignment vertical="center" wrapText="1"/>
    </xf>
    <xf numFmtId="1" fontId="4" fillId="0" borderId="81" xfId="0" applyNumberFormat="1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0" borderId="78" xfId="0" applyFont="1" applyBorder="1" applyAlignment="1" applyProtection="1">
      <alignment/>
      <protection locked="0"/>
    </xf>
    <xf numFmtId="3" fontId="4" fillId="0" borderId="63" xfId="0" applyNumberFormat="1" applyFont="1" applyFill="1" applyBorder="1" applyAlignment="1">
      <alignment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5" fillId="0" borderId="79" xfId="0" applyFont="1" applyBorder="1" applyAlignment="1" applyProtection="1">
      <alignment/>
      <protection locked="0"/>
    </xf>
    <xf numFmtId="0" fontId="5" fillId="0" borderId="79" xfId="0" applyFont="1" applyBorder="1" applyAlignment="1" applyProtection="1">
      <alignment wrapText="1"/>
      <protection locked="0"/>
    </xf>
    <xf numFmtId="0" fontId="5" fillId="0" borderId="79" xfId="0" applyFont="1" applyBorder="1" applyAlignment="1" applyProtection="1">
      <alignment vertical="center" wrapText="1"/>
      <protection locked="0"/>
    </xf>
    <xf numFmtId="0" fontId="5" fillId="0" borderId="79" xfId="0" applyFont="1" applyBorder="1" applyAlignment="1">
      <alignment vertical="center" wrapText="1"/>
    </xf>
    <xf numFmtId="0" fontId="5" fillId="0" borderId="82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3" xfId="0" applyNumberFormat="1" applyFont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0" borderId="83" xfId="0" applyFont="1" applyBorder="1" applyAlignment="1">
      <alignment vertical="center" wrapText="1"/>
    </xf>
    <xf numFmtId="0" fontId="5" fillId="59" borderId="79" xfId="0" applyFont="1" applyFill="1" applyBorder="1" applyAlignment="1">
      <alignment vertical="center" wrapText="1"/>
    </xf>
    <xf numFmtId="3" fontId="4" fillId="59" borderId="29" xfId="0" applyNumberFormat="1" applyFont="1" applyFill="1" applyBorder="1" applyAlignment="1">
      <alignment vertical="center" wrapText="1"/>
    </xf>
    <xf numFmtId="0" fontId="5" fillId="59" borderId="0" xfId="0" applyFont="1" applyFill="1" applyAlignment="1">
      <alignment/>
    </xf>
    <xf numFmtId="0" fontId="14" fillId="0" borderId="78" xfId="0" applyFont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0" fontId="4" fillId="17" borderId="80" xfId="0" applyFont="1" applyFill="1" applyBorder="1" applyAlignment="1">
      <alignment vertical="center" wrapText="1"/>
    </xf>
    <xf numFmtId="3" fontId="5" fillId="59" borderId="0" xfId="0" applyNumberFormat="1" applyFont="1" applyFill="1" applyAlignment="1">
      <alignment/>
    </xf>
    <xf numFmtId="0" fontId="139" fillId="0" borderId="78" xfId="0" applyFont="1" applyBorder="1" applyAlignment="1" applyProtection="1">
      <alignment vertical="center" wrapText="1"/>
      <protection locked="0"/>
    </xf>
    <xf numFmtId="3" fontId="140" fillId="0" borderId="63" xfId="0" applyNumberFormat="1" applyFont="1" applyFill="1" applyBorder="1" applyAlignment="1">
      <alignment vertical="center" wrapText="1"/>
    </xf>
    <xf numFmtId="0" fontId="139" fillId="0" borderId="0" xfId="0" applyFont="1" applyAlignment="1">
      <alignment/>
    </xf>
    <xf numFmtId="3" fontId="139" fillId="0" borderId="0" xfId="0" applyNumberFormat="1" applyFont="1" applyAlignment="1">
      <alignment/>
    </xf>
    <xf numFmtId="2" fontId="139" fillId="0" borderId="0" xfId="0" applyNumberFormat="1" applyFont="1" applyAlignment="1">
      <alignment/>
    </xf>
    <xf numFmtId="0" fontId="141" fillId="0" borderId="0" xfId="0" applyFont="1" applyAlignment="1">
      <alignment/>
    </xf>
    <xf numFmtId="3" fontId="141" fillId="0" borderId="0" xfId="0" applyNumberFormat="1" applyFont="1" applyAlignment="1">
      <alignment/>
    </xf>
    <xf numFmtId="0" fontId="2" fillId="0" borderId="63" xfId="0" applyFont="1" applyBorder="1" applyAlignment="1">
      <alignment vertical="center" wrapText="1"/>
    </xf>
    <xf numFmtId="3" fontId="140" fillId="0" borderId="29" xfId="0" applyNumberFormat="1" applyFont="1" applyFill="1" applyBorder="1" applyAlignment="1">
      <alignment vertical="center" wrapText="1"/>
    </xf>
    <xf numFmtId="0" fontId="5" fillId="0" borderId="85" xfId="0" applyFont="1" applyBorder="1" applyAlignment="1">
      <alignment vertical="center" wrapText="1"/>
    </xf>
    <xf numFmtId="3" fontId="4" fillId="0" borderId="86" xfId="0" applyNumberFormat="1" applyFont="1" applyBorder="1" applyAlignment="1">
      <alignment vertical="center" wrapText="1"/>
    </xf>
    <xf numFmtId="0" fontId="139" fillId="0" borderId="79" xfId="0" applyFont="1" applyBorder="1" applyAlignment="1" applyProtection="1">
      <alignment vertical="center" wrapText="1"/>
      <protection locked="0"/>
    </xf>
    <xf numFmtId="0" fontId="5" fillId="0" borderId="84" xfId="0" applyFont="1" applyBorder="1" applyAlignment="1">
      <alignment vertical="center" wrapText="1"/>
    </xf>
    <xf numFmtId="3" fontId="4" fillId="0" borderId="64" xfId="0" applyNumberFormat="1" applyFont="1" applyBorder="1" applyAlignment="1">
      <alignment vertical="center" wrapText="1"/>
    </xf>
    <xf numFmtId="3" fontId="4" fillId="0" borderId="64" xfId="0" applyNumberFormat="1" applyFont="1" applyFill="1" applyBorder="1" applyAlignment="1">
      <alignment vertical="center" wrapText="1"/>
    </xf>
    <xf numFmtId="3" fontId="4" fillId="0" borderId="81" xfId="0" applyNumberFormat="1" applyFont="1" applyFill="1" applyBorder="1" applyAlignment="1">
      <alignment vertical="center" wrapText="1"/>
    </xf>
    <xf numFmtId="0" fontId="4" fillId="0" borderId="78" xfId="0" applyFont="1" applyBorder="1" applyAlignment="1">
      <alignment vertical="center" wrapText="1"/>
    </xf>
    <xf numFmtId="0" fontId="140" fillId="0" borderId="78" xfId="0" applyFont="1" applyBorder="1" applyAlignment="1" applyProtection="1">
      <alignment vertical="center" wrapText="1"/>
      <protection locked="0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3" fontId="3" fillId="0" borderId="29" xfId="1425" applyNumberFormat="1" applyFont="1" applyBorder="1" applyAlignment="1">
      <alignment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74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2" fillId="0" borderId="79" xfId="0" applyFont="1" applyBorder="1" applyAlignment="1" applyProtection="1">
      <alignment/>
      <protection locked="0"/>
    </xf>
    <xf numFmtId="1" fontId="74" fillId="59" borderId="0" xfId="0" applyNumberFormat="1" applyFont="1" applyFill="1" applyAlignment="1">
      <alignment/>
    </xf>
    <xf numFmtId="0" fontId="2" fillId="59" borderId="30" xfId="0" applyFont="1" applyFill="1" applyBorder="1" applyAlignment="1">
      <alignment horizontal="center" vertical="center" wrapText="1"/>
    </xf>
    <xf numFmtId="0" fontId="2" fillId="59" borderId="32" xfId="0" applyFont="1" applyFill="1" applyBorder="1" applyAlignment="1">
      <alignment horizontal="center" vertical="center" wrapText="1"/>
    </xf>
    <xf numFmtId="0" fontId="2" fillId="59" borderId="40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1" fontId="2" fillId="59" borderId="73" xfId="0" applyNumberFormat="1" applyFont="1" applyFill="1" applyBorder="1" applyAlignment="1">
      <alignment horizontal="center" vertical="center" wrapText="1"/>
    </xf>
    <xf numFmtId="1" fontId="2" fillId="59" borderId="63" xfId="0" applyNumberFormat="1" applyFont="1" applyFill="1" applyBorder="1" applyAlignment="1">
      <alignment horizontal="center" vertical="center" wrapText="1"/>
    </xf>
    <xf numFmtId="0" fontId="2" fillId="59" borderId="63" xfId="0" applyFont="1" applyFill="1" applyBorder="1" applyAlignment="1">
      <alignment horizontal="center" vertical="center" wrapText="1"/>
    </xf>
    <xf numFmtId="3" fontId="2" fillId="0" borderId="0" xfId="1425" applyNumberFormat="1" applyFont="1" applyAlignment="1">
      <alignment vertical="center" wrapText="1"/>
      <protection/>
    </xf>
    <xf numFmtId="0" fontId="142" fillId="17" borderId="29" xfId="1507" applyFont="1" applyFill="1" applyBorder="1" applyAlignment="1">
      <alignment vertical="center" wrapText="1"/>
      <protection/>
    </xf>
    <xf numFmtId="0" fontId="142" fillId="17" borderId="29" xfId="1507" applyFont="1" applyFill="1" applyBorder="1" applyAlignment="1">
      <alignment horizontal="left" vertical="center" wrapText="1"/>
      <protection/>
    </xf>
    <xf numFmtId="0" fontId="74" fillId="59" borderId="0" xfId="0" applyFont="1" applyFill="1" applyBorder="1" applyAlignment="1">
      <alignment/>
    </xf>
    <xf numFmtId="1" fontId="76" fillId="11" borderId="0" xfId="0" applyNumberFormat="1" applyFont="1" applyFill="1" applyBorder="1" applyAlignment="1">
      <alignment/>
    </xf>
    <xf numFmtId="3" fontId="76" fillId="11" borderId="0" xfId="0" applyNumberFormat="1" applyFont="1" applyFill="1" applyBorder="1" applyAlignment="1">
      <alignment/>
    </xf>
    <xf numFmtId="0" fontId="143" fillId="0" borderId="0" xfId="0" applyFont="1" applyAlignment="1">
      <alignment/>
    </xf>
    <xf numFmtId="3" fontId="143" fillId="0" borderId="0" xfId="0" applyNumberFormat="1" applyFont="1" applyAlignment="1">
      <alignment/>
    </xf>
    <xf numFmtId="3" fontId="143" fillId="11" borderId="63" xfId="0" applyNumberFormat="1" applyFont="1" applyFill="1" applyBorder="1" applyAlignment="1">
      <alignment vertical="center" wrapText="1"/>
    </xf>
    <xf numFmtId="3" fontId="143" fillId="11" borderId="33" xfId="0" applyNumberFormat="1" applyFont="1" applyFill="1" applyBorder="1" applyAlignment="1">
      <alignment vertical="center" wrapText="1"/>
    </xf>
    <xf numFmtId="3" fontId="143" fillId="11" borderId="87" xfId="0" applyNumberFormat="1" applyFont="1" applyFill="1" applyBorder="1" applyAlignment="1">
      <alignment vertical="center" wrapText="1"/>
    </xf>
    <xf numFmtId="3" fontId="143" fillId="11" borderId="29" xfId="0" applyNumberFormat="1" applyFont="1" applyFill="1" applyBorder="1" applyAlignment="1">
      <alignment vertical="center" wrapText="1"/>
    </xf>
    <xf numFmtId="3" fontId="143" fillId="11" borderId="31" xfId="0" applyNumberFormat="1" applyFont="1" applyFill="1" applyBorder="1" applyAlignment="1">
      <alignment vertical="center" wrapText="1"/>
    </xf>
    <xf numFmtId="3" fontId="143" fillId="11" borderId="88" xfId="0" applyNumberFormat="1" applyFont="1" applyFill="1" applyBorder="1" applyAlignment="1">
      <alignment vertical="center" wrapText="1"/>
    </xf>
    <xf numFmtId="3" fontId="144" fillId="59" borderId="29" xfId="0" applyNumberFormat="1" applyFont="1" applyFill="1" applyBorder="1" applyAlignment="1">
      <alignment vertical="center" wrapText="1"/>
    </xf>
    <xf numFmtId="3" fontId="144" fillId="59" borderId="33" xfId="0" applyNumberFormat="1" applyFont="1" applyFill="1" applyBorder="1" applyAlignment="1">
      <alignment vertical="center" wrapText="1"/>
    </xf>
    <xf numFmtId="3" fontId="144" fillId="59" borderId="87" xfId="0" applyNumberFormat="1" applyFont="1" applyFill="1" applyBorder="1" applyAlignment="1">
      <alignment vertical="center" wrapText="1"/>
    </xf>
    <xf numFmtId="3" fontId="145" fillId="0" borderId="81" xfId="0" applyNumberFormat="1" applyFont="1" applyBorder="1" applyAlignment="1">
      <alignment vertical="center" wrapText="1"/>
    </xf>
    <xf numFmtId="3" fontId="145" fillId="0" borderId="89" xfId="0" applyNumberFormat="1" applyFont="1" applyBorder="1" applyAlignment="1">
      <alignment vertical="center" wrapText="1"/>
    </xf>
    <xf numFmtId="3" fontId="143" fillId="59" borderId="75" xfId="0" applyNumberFormat="1" applyFont="1" applyFill="1" applyBorder="1" applyAlignment="1">
      <alignment vertical="center" wrapText="1"/>
    </xf>
    <xf numFmtId="3" fontId="143" fillId="59" borderId="90" xfId="0" applyNumberFormat="1" applyFont="1" applyFill="1" applyBorder="1" applyAlignment="1">
      <alignment vertical="center" wrapText="1"/>
    </xf>
    <xf numFmtId="3" fontId="143" fillId="59" borderId="91" xfId="0" applyNumberFormat="1" applyFont="1" applyFill="1" applyBorder="1" applyAlignment="1">
      <alignment vertical="center" wrapText="1"/>
    </xf>
    <xf numFmtId="3" fontId="143" fillId="11" borderId="81" xfId="0" applyNumberFormat="1" applyFont="1" applyFill="1" applyBorder="1" applyAlignment="1">
      <alignment vertical="center" wrapText="1"/>
    </xf>
    <xf numFmtId="3" fontId="143" fillId="11" borderId="92" xfId="0" applyNumberFormat="1" applyFont="1" applyFill="1" applyBorder="1" applyAlignment="1">
      <alignment vertical="center" wrapText="1"/>
    </xf>
    <xf numFmtId="3" fontId="143" fillId="11" borderId="89" xfId="0" applyNumberFormat="1" applyFont="1" applyFill="1" applyBorder="1" applyAlignment="1">
      <alignment vertical="center" wrapText="1"/>
    </xf>
    <xf numFmtId="3" fontId="143" fillId="59" borderId="64" xfId="0" applyNumberFormat="1" applyFont="1" applyFill="1" applyBorder="1" applyAlignment="1">
      <alignment vertical="center" wrapText="1"/>
    </xf>
    <xf numFmtId="3" fontId="143" fillId="59" borderId="63" xfId="0" applyNumberFormat="1" applyFont="1" applyFill="1" applyBorder="1" applyAlignment="1">
      <alignment vertical="center" wrapText="1"/>
    </xf>
    <xf numFmtId="3" fontId="143" fillId="59" borderId="33" xfId="0" applyNumberFormat="1" applyFont="1" applyFill="1" applyBorder="1" applyAlignment="1">
      <alignment vertical="center" wrapText="1"/>
    </xf>
    <xf numFmtId="3" fontId="143" fillId="59" borderId="87" xfId="0" applyNumberFormat="1" applyFont="1" applyFill="1" applyBorder="1" applyAlignment="1">
      <alignment vertical="center" wrapText="1"/>
    </xf>
    <xf numFmtId="3" fontId="143" fillId="59" borderId="29" xfId="0" applyNumberFormat="1" applyFont="1" applyFill="1" applyBorder="1" applyAlignment="1">
      <alignment vertical="center" wrapText="1"/>
    </xf>
    <xf numFmtId="3" fontId="143" fillId="59" borderId="31" xfId="0" applyNumberFormat="1" applyFont="1" applyFill="1" applyBorder="1" applyAlignment="1">
      <alignment vertical="center" wrapText="1"/>
    </xf>
    <xf numFmtId="3" fontId="143" fillId="59" borderId="88" xfId="0" applyNumberFormat="1" applyFont="1" applyFill="1" applyBorder="1" applyAlignment="1">
      <alignment vertical="center" wrapText="1"/>
    </xf>
    <xf numFmtId="3" fontId="143" fillId="59" borderId="93" xfId="0" applyNumberFormat="1" applyFont="1" applyFill="1" applyBorder="1" applyAlignment="1">
      <alignment vertical="center" wrapText="1"/>
    </xf>
    <xf numFmtId="3" fontId="143" fillId="59" borderId="86" xfId="0" applyNumberFormat="1" applyFont="1" applyFill="1" applyBorder="1" applyAlignment="1">
      <alignment vertical="center" wrapText="1"/>
    </xf>
    <xf numFmtId="3" fontId="143" fillId="59" borderId="94" xfId="0" applyNumberFormat="1" applyFont="1" applyFill="1" applyBorder="1" applyAlignment="1">
      <alignment vertical="center" wrapText="1"/>
    </xf>
    <xf numFmtId="3" fontId="144" fillId="59" borderId="88" xfId="0" applyNumberFormat="1" applyFont="1" applyFill="1" applyBorder="1" applyAlignment="1">
      <alignment vertical="center" wrapText="1"/>
    </xf>
    <xf numFmtId="3" fontId="143" fillId="0" borderId="29" xfId="0" applyNumberFormat="1" applyFont="1" applyFill="1" applyBorder="1" applyAlignment="1">
      <alignment vertical="center" wrapText="1"/>
    </xf>
    <xf numFmtId="3" fontId="143" fillId="0" borderId="33" xfId="0" applyNumberFormat="1" applyFont="1" applyFill="1" applyBorder="1" applyAlignment="1">
      <alignment vertical="center" wrapText="1"/>
    </xf>
    <xf numFmtId="3" fontId="143" fillId="0" borderId="87" xfId="0" applyNumberFormat="1" applyFont="1" applyFill="1" applyBorder="1" applyAlignment="1">
      <alignment vertical="center" wrapText="1"/>
    </xf>
    <xf numFmtId="3" fontId="145" fillId="17" borderId="81" xfId="0" applyNumberFormat="1" applyFont="1" applyFill="1" applyBorder="1" applyAlignment="1">
      <alignment vertical="center" wrapText="1"/>
    </xf>
    <xf numFmtId="3" fontId="145" fillId="17" borderId="89" xfId="0" applyNumberFormat="1" applyFont="1" applyFill="1" applyBorder="1" applyAlignment="1">
      <alignment vertical="center" wrapText="1"/>
    </xf>
    <xf numFmtId="3" fontId="143" fillId="59" borderId="0" xfId="0" applyNumberFormat="1" applyFont="1" applyFill="1" applyAlignment="1">
      <alignment/>
    </xf>
    <xf numFmtId="0" fontId="143" fillId="59" borderId="0" xfId="0" applyFont="1" applyFill="1" applyAlignment="1">
      <alignment/>
    </xf>
    <xf numFmtId="0" fontId="141" fillId="0" borderId="78" xfId="0" applyFont="1" applyBorder="1" applyAlignment="1" applyProtection="1">
      <alignment vertical="center" wrapText="1"/>
      <protection locked="0"/>
    </xf>
    <xf numFmtId="1" fontId="2" fillId="59" borderId="30" xfId="0" applyNumberFormat="1" applyFont="1" applyFill="1" applyBorder="1" applyAlignment="1">
      <alignment horizontal="center" vertical="center" wrapText="1"/>
    </xf>
    <xf numFmtId="1" fontId="2" fillId="59" borderId="40" xfId="0" applyNumberFormat="1" applyFont="1" applyFill="1" applyBorder="1" applyAlignment="1">
      <alignment horizontal="center" vertical="center" wrapText="1"/>
    </xf>
    <xf numFmtId="1" fontId="2" fillId="59" borderId="32" xfId="0" applyNumberFormat="1" applyFont="1" applyFill="1" applyBorder="1" applyAlignment="1">
      <alignment horizontal="center"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2" fillId="11" borderId="95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3" fontId="146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63" xfId="0" applyNumberFormat="1" applyFont="1" applyFill="1" applyBorder="1" applyAlignment="1">
      <alignment vertical="center" wrapText="1"/>
    </xf>
    <xf numFmtId="3" fontId="5" fillId="11" borderId="33" xfId="0" applyNumberFormat="1" applyFont="1" applyFill="1" applyBorder="1" applyAlignment="1">
      <alignment vertical="center" wrapText="1"/>
    </xf>
    <xf numFmtId="3" fontId="5" fillId="11" borderId="87" xfId="0" applyNumberFormat="1" applyFont="1" applyFill="1" applyBorder="1" applyAlignment="1">
      <alignment vertical="center" wrapText="1"/>
    </xf>
    <xf numFmtId="3" fontId="5" fillId="11" borderId="29" xfId="0" applyNumberFormat="1" applyFont="1" applyFill="1" applyBorder="1" applyAlignment="1">
      <alignment vertical="center" wrapText="1"/>
    </xf>
    <xf numFmtId="3" fontId="5" fillId="59" borderId="29" xfId="0" applyNumberFormat="1" applyFont="1" applyFill="1" applyBorder="1" applyAlignment="1">
      <alignment vertical="center" wrapText="1"/>
    </xf>
    <xf numFmtId="3" fontId="5" fillId="59" borderId="33" xfId="0" applyNumberFormat="1" applyFont="1" applyFill="1" applyBorder="1" applyAlignment="1">
      <alignment vertical="center" wrapText="1"/>
    </xf>
    <xf numFmtId="3" fontId="5" fillId="59" borderId="75" xfId="0" applyNumberFormat="1" applyFont="1" applyFill="1" applyBorder="1" applyAlignment="1">
      <alignment vertical="center" wrapText="1"/>
    </xf>
    <xf numFmtId="3" fontId="5" fillId="59" borderId="90" xfId="0" applyNumberFormat="1" applyFont="1" applyFill="1" applyBorder="1" applyAlignment="1">
      <alignment vertical="center" wrapText="1"/>
    </xf>
    <xf numFmtId="3" fontId="5" fillId="59" borderId="91" xfId="0" applyNumberFormat="1" applyFont="1" applyFill="1" applyBorder="1" applyAlignment="1">
      <alignment vertical="center" wrapText="1"/>
    </xf>
    <xf numFmtId="3" fontId="12" fillId="59" borderId="29" xfId="0" applyNumberFormat="1" applyFont="1" applyFill="1" applyBorder="1" applyAlignment="1">
      <alignment vertical="center" wrapText="1"/>
    </xf>
    <xf numFmtId="3" fontId="12" fillId="59" borderId="33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4" fillId="11" borderId="81" xfId="0" applyNumberFormat="1" applyFont="1" applyFill="1" applyBorder="1" applyAlignment="1">
      <alignment vertical="center" wrapText="1"/>
    </xf>
    <xf numFmtId="3" fontId="5" fillId="59" borderId="63" xfId="0" applyNumberFormat="1" applyFont="1" applyFill="1" applyBorder="1" applyAlignment="1">
      <alignment vertical="center" wrapText="1"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80" fillId="11" borderId="29" xfId="0" applyFont="1" applyFill="1" applyBorder="1" applyAlignment="1">
      <alignment vertical="center" wrapText="1"/>
    </xf>
    <xf numFmtId="3" fontId="7" fillId="59" borderId="29" xfId="0" applyNumberFormat="1" applyFont="1" applyFill="1" applyBorder="1" applyAlignment="1">
      <alignment vertical="center" wrapText="1"/>
    </xf>
    <xf numFmtId="3" fontId="3" fillId="17" borderId="29" xfId="1507" applyNumberFormat="1" applyFont="1" applyFill="1" applyBorder="1" applyAlignment="1">
      <alignment vertical="center" wrapText="1"/>
      <protection/>
    </xf>
    <xf numFmtId="0" fontId="35" fillId="0" borderId="29" xfId="0" applyFont="1" applyBorder="1" applyAlignment="1">
      <alignment vertical="center" wrapText="1"/>
    </xf>
    <xf numFmtId="0" fontId="11" fillId="17" borderId="29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3" fillId="0" borderId="78" xfId="1425" applyFont="1" applyBorder="1" applyAlignment="1">
      <alignment vertical="center" wrapText="1"/>
      <protection/>
    </xf>
    <xf numFmtId="3" fontId="35" fillId="0" borderId="29" xfId="1425" applyNumberFormat="1" applyFont="1" applyBorder="1" applyAlignment="1">
      <alignment vertical="center" wrapText="1"/>
      <protection/>
    </xf>
    <xf numFmtId="0" fontId="3" fillId="0" borderId="79" xfId="1425" applyFont="1" applyBorder="1" applyAlignment="1">
      <alignment vertical="center" wrapText="1"/>
      <protection/>
    </xf>
    <xf numFmtId="0" fontId="3" fillId="0" borderId="84" xfId="1425" applyFont="1" applyBorder="1" applyAlignment="1">
      <alignment vertical="center" wrapText="1"/>
      <protection/>
    </xf>
    <xf numFmtId="3" fontId="3" fillId="0" borderId="64" xfId="1425" applyNumberFormat="1" applyFont="1" applyBorder="1" applyAlignment="1">
      <alignment vertical="center" wrapText="1"/>
      <protection/>
    </xf>
    <xf numFmtId="0" fontId="2" fillId="0" borderId="78" xfId="1425" applyFont="1" applyBorder="1" applyAlignment="1">
      <alignment vertical="center" wrapText="1"/>
      <protection/>
    </xf>
    <xf numFmtId="0" fontId="2" fillId="0" borderId="79" xfId="1425" applyFont="1" applyBorder="1" applyAlignment="1">
      <alignment vertical="center" wrapText="1"/>
      <protection/>
    </xf>
    <xf numFmtId="3" fontId="3" fillId="17" borderId="29" xfId="1425" applyNumberFormat="1" applyFont="1" applyFill="1" applyBorder="1" applyAlignment="1">
      <alignment vertical="center" wrapText="1"/>
      <protection/>
    </xf>
    <xf numFmtId="3" fontId="3" fillId="17" borderId="64" xfId="1425" applyNumberFormat="1" applyFont="1" applyFill="1" applyBorder="1" applyAlignment="1">
      <alignment vertical="center" wrapText="1"/>
      <protection/>
    </xf>
    <xf numFmtId="3" fontId="3" fillId="17" borderId="63" xfId="1425" applyNumberFormat="1" applyFont="1" applyFill="1" applyBorder="1" applyAlignment="1">
      <alignment vertical="center" wrapText="1"/>
      <protection/>
    </xf>
    <xf numFmtId="0" fontId="2" fillId="59" borderId="31" xfId="1425" applyFont="1" applyFill="1" applyBorder="1" applyAlignment="1">
      <alignment vertical="center" wrapText="1"/>
      <protection/>
    </xf>
    <xf numFmtId="3" fontId="3" fillId="59" borderId="96" xfId="1425" applyNumberFormat="1" applyFont="1" applyFill="1" applyBorder="1" applyAlignment="1">
      <alignment vertical="center" wrapText="1"/>
      <protection/>
    </xf>
    <xf numFmtId="3" fontId="2" fillId="59" borderId="96" xfId="1425" applyNumberFormat="1" applyFont="1" applyFill="1" applyBorder="1" applyAlignment="1">
      <alignment vertical="center" wrapText="1"/>
      <protection/>
    </xf>
    <xf numFmtId="3" fontId="11" fillId="59" borderId="96" xfId="1425" applyNumberFormat="1" applyFont="1" applyFill="1" applyBorder="1" applyAlignment="1">
      <alignment vertical="center" wrapText="1"/>
      <protection/>
    </xf>
    <xf numFmtId="3" fontId="2" fillId="59" borderId="66" xfId="1425" applyNumberFormat="1" applyFont="1" applyFill="1" applyBorder="1" applyAlignment="1">
      <alignment vertical="center" wrapText="1"/>
      <protection/>
    </xf>
    <xf numFmtId="0" fontId="137" fillId="0" borderId="0" xfId="0" applyFont="1" applyAlignment="1">
      <alignment/>
    </xf>
    <xf numFmtId="0" fontId="137" fillId="0" borderId="0" xfId="0" applyFont="1" applyAlignment="1">
      <alignment horizontal="right"/>
    </xf>
    <xf numFmtId="3" fontId="4" fillId="11" borderId="92" xfId="0" applyNumberFormat="1" applyFont="1" applyFill="1" applyBorder="1" applyAlignment="1">
      <alignment vertical="center" wrapText="1"/>
    </xf>
    <xf numFmtId="3" fontId="4" fillId="11" borderId="89" xfId="0" applyNumberFormat="1" applyFont="1" applyFill="1" applyBorder="1" applyAlignment="1">
      <alignment vertical="center" wrapText="1"/>
    </xf>
    <xf numFmtId="0" fontId="3" fillId="59" borderId="29" xfId="0" applyFont="1" applyFill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3" fillId="59" borderId="29" xfId="0" applyNumberFormat="1" applyFont="1" applyFill="1" applyBorder="1" applyAlignment="1">
      <alignment horizontal="center" vertical="center" wrapText="1"/>
    </xf>
    <xf numFmtId="0" fontId="2" fillId="11" borderId="97" xfId="0" applyFont="1" applyFill="1" applyBorder="1" applyAlignment="1">
      <alignment vertical="center" wrapText="1"/>
    </xf>
    <xf numFmtId="1" fontId="137" fillId="59" borderId="30" xfId="0" applyNumberFormat="1" applyFont="1" applyFill="1" applyBorder="1" applyAlignment="1">
      <alignment horizontal="center" vertical="center" wrapText="1"/>
    </xf>
    <xf numFmtId="0" fontId="137" fillId="59" borderId="30" xfId="0" applyFont="1" applyFill="1" applyBorder="1" applyAlignment="1">
      <alignment horizontal="center" vertical="center" wrapText="1"/>
    </xf>
    <xf numFmtId="0" fontId="147" fillId="59" borderId="30" xfId="0" applyFont="1" applyFill="1" applyBorder="1" applyAlignment="1">
      <alignment horizontal="center" vertical="center" wrapText="1"/>
    </xf>
    <xf numFmtId="1" fontId="148" fillId="11" borderId="40" xfId="0" applyNumberFormat="1" applyFont="1" applyFill="1" applyBorder="1" applyAlignment="1">
      <alignment horizontal="center" vertical="center" wrapText="1"/>
    </xf>
    <xf numFmtId="3" fontId="148" fillId="59" borderId="98" xfId="0" applyNumberFormat="1" applyFont="1" applyFill="1" applyBorder="1" applyAlignment="1">
      <alignment horizontal="center" vertical="center" wrapText="1"/>
    </xf>
    <xf numFmtId="1" fontId="149" fillId="59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0" fontId="2" fillId="59" borderId="0" xfId="0" applyFont="1" applyFill="1" applyAlignment="1">
      <alignment horizontal="right"/>
    </xf>
    <xf numFmtId="1" fontId="74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3" xfId="0" applyNumberFormat="1" applyFont="1" applyFill="1" applyBorder="1" applyAlignment="1">
      <alignment horizontal="center" vertical="center" wrapText="1"/>
    </xf>
    <xf numFmtId="0" fontId="81" fillId="59" borderId="0" xfId="0" applyFont="1" applyFill="1" applyAlignment="1">
      <alignment/>
    </xf>
    <xf numFmtId="1" fontId="81" fillId="11" borderId="0" xfId="0" applyNumberFormat="1" applyFont="1" applyFill="1" applyAlignment="1">
      <alignment/>
    </xf>
    <xf numFmtId="3" fontId="81" fillId="11" borderId="0" xfId="0" applyNumberFormat="1" applyFont="1" applyFill="1" applyAlignment="1">
      <alignment/>
    </xf>
    <xf numFmtId="0" fontId="3" fillId="59" borderId="29" xfId="0" applyFont="1" applyFill="1" applyBorder="1" applyAlignment="1">
      <alignment horizontal="center" vertical="center" wrapText="1"/>
    </xf>
    <xf numFmtId="0" fontId="1" fillId="0" borderId="0" xfId="919" applyFont="1">
      <alignment/>
      <protection/>
    </xf>
    <xf numFmtId="0" fontId="150" fillId="0" borderId="0" xfId="919" applyFont="1">
      <alignment/>
      <protection/>
    </xf>
    <xf numFmtId="2" fontId="150" fillId="59" borderId="29" xfId="1507" applyNumberFormat="1" applyFont="1" applyFill="1" applyBorder="1" applyAlignment="1">
      <alignment vertical="center" wrapText="1"/>
      <protection/>
    </xf>
    <xf numFmtId="4" fontId="150" fillId="59" borderId="29" xfId="1507" applyNumberFormat="1" applyFont="1" applyFill="1" applyBorder="1">
      <alignment/>
      <protection/>
    </xf>
    <xf numFmtId="2" fontId="151" fillId="59" borderId="29" xfId="1507" applyNumberFormat="1" applyFont="1" applyFill="1" applyBorder="1" applyAlignment="1">
      <alignment vertical="center" wrapText="1"/>
      <protection/>
    </xf>
    <xf numFmtId="4" fontId="151" fillId="59" borderId="29" xfId="1507" applyNumberFormat="1" applyFont="1" applyFill="1" applyBorder="1" applyAlignment="1">
      <alignment vertical="center" wrapText="1"/>
      <protection/>
    </xf>
    <xf numFmtId="2" fontId="152" fillId="59" borderId="29" xfId="1507" applyNumberFormat="1" applyFont="1" applyFill="1" applyBorder="1" applyAlignment="1">
      <alignment horizontal="center" vertical="center" wrapText="1"/>
      <protection/>
    </xf>
    <xf numFmtId="0" fontId="150" fillId="0" borderId="0" xfId="919" applyFont="1" applyAlignment="1">
      <alignment horizontal="right"/>
      <protection/>
    </xf>
    <xf numFmtId="4" fontId="151" fillId="59" borderId="29" xfId="1507" applyNumberFormat="1" applyFont="1" applyFill="1" applyBorder="1">
      <alignment/>
      <protection/>
    </xf>
    <xf numFmtId="0" fontId="153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8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138" fillId="11" borderId="49" xfId="0" applyFont="1" applyFill="1" applyBorder="1" applyAlignment="1">
      <alignment horizontal="center" vertical="center" wrapText="1"/>
    </xf>
    <xf numFmtId="0" fontId="138" fillId="11" borderId="49" xfId="0" applyFont="1" applyFill="1" applyBorder="1" applyAlignment="1">
      <alignment vertical="center" wrapText="1"/>
    </xf>
    <xf numFmtId="3" fontId="154" fillId="59" borderId="0" xfId="0" applyNumberFormat="1" applyFont="1" applyFill="1" applyAlignment="1">
      <alignment/>
    </xf>
    <xf numFmtId="49" fontId="2" fillId="0" borderId="63" xfId="2078" applyNumberFormat="1" applyFont="1" applyBorder="1" applyAlignment="1">
      <alignment horizontal="center" vertical="center"/>
      <protection/>
    </xf>
    <xf numFmtId="0" fontId="2" fillId="60" borderId="70" xfId="2078" applyFont="1" applyFill="1" applyBorder="1" applyAlignment="1">
      <alignment vertical="center" wrapText="1"/>
      <protection/>
    </xf>
    <xf numFmtId="4" fontId="137" fillId="0" borderId="29" xfId="2078" applyNumberFormat="1" applyFont="1" applyBorder="1" applyAlignment="1">
      <alignment horizontal="right" vertical="center"/>
      <protection/>
    </xf>
    <xf numFmtId="4" fontId="155" fillId="15" borderId="29" xfId="0" applyNumberFormat="1" applyFont="1" applyFill="1" applyBorder="1" applyAlignment="1">
      <alignment horizontal="right" vertical="center"/>
    </xf>
    <xf numFmtId="49" fontId="2" fillId="0" borderId="29" xfId="2078" applyNumberFormat="1" applyFont="1" applyBorder="1" applyAlignment="1">
      <alignment horizontal="center" vertical="center"/>
      <protection/>
    </xf>
    <xf numFmtId="0" fontId="2" fillId="60" borderId="66" xfId="2078" applyFont="1" applyFill="1" applyBorder="1" applyAlignment="1">
      <alignment vertical="center" wrapText="1"/>
      <protection/>
    </xf>
    <xf numFmtId="0" fontId="2" fillId="0" borderId="66" xfId="2078" applyFont="1" applyBorder="1" applyAlignment="1">
      <alignment vertical="center" wrapText="1"/>
      <protection/>
    </xf>
    <xf numFmtId="4" fontId="148" fillId="0" borderId="29" xfId="2078" applyNumberFormat="1" applyFont="1" applyBorder="1" applyAlignment="1">
      <alignment horizontal="right" vertical="center"/>
      <protection/>
    </xf>
    <xf numFmtId="0" fontId="148" fillId="0" borderId="29" xfId="2078" applyFont="1" applyBorder="1" applyAlignment="1">
      <alignment vertical="center"/>
      <protection/>
    </xf>
    <xf numFmtId="4" fontId="137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2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137" fillId="59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3" fillId="60" borderId="66" xfId="2078" applyFont="1" applyFill="1" applyBorder="1" applyAlignment="1">
      <alignment vertical="center" wrapText="1"/>
      <protection/>
    </xf>
    <xf numFmtId="0" fontId="148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3" xfId="0" applyNumberFormat="1" applyFont="1" applyFill="1" applyBorder="1" applyAlignment="1">
      <alignment horizontal="center" vertical="center" wrapText="1"/>
    </xf>
    <xf numFmtId="4" fontId="148" fillId="0" borderId="0" xfId="0" applyNumberFormat="1" applyFont="1" applyAlignment="1">
      <alignment wrapText="1"/>
    </xf>
    <xf numFmtId="4" fontId="137" fillId="0" borderId="0" xfId="0" applyNumberFormat="1" applyFont="1" applyAlignment="1">
      <alignment wrapText="1"/>
    </xf>
    <xf numFmtId="4" fontId="148" fillId="0" borderId="0" xfId="0" applyNumberFormat="1" applyFont="1" applyAlignment="1">
      <alignment/>
    </xf>
    <xf numFmtId="0" fontId="3" fillId="59" borderId="0" xfId="0" applyFont="1" applyFill="1" applyAlignment="1">
      <alignment horizontal="center" vertical="center" wrapText="1"/>
    </xf>
    <xf numFmtId="0" fontId="11" fillId="11" borderId="55" xfId="0" applyFont="1" applyFill="1" applyBorder="1" applyAlignment="1">
      <alignment horizontal="center" vertical="center" wrapText="1"/>
    </xf>
    <xf numFmtId="0" fontId="2" fillId="59" borderId="36" xfId="0" applyFont="1" applyFill="1" applyBorder="1" applyAlignment="1">
      <alignment horizontal="center" vertical="center" wrapText="1"/>
    </xf>
    <xf numFmtId="0" fontId="2" fillId="59" borderId="99" xfId="0" applyFont="1" applyFill="1" applyBorder="1" applyAlignment="1">
      <alignment horizontal="center" vertical="center" wrapText="1"/>
    </xf>
    <xf numFmtId="0" fontId="2" fillId="11" borderId="10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3" fontId="5" fillId="59" borderId="31" xfId="0" applyNumberFormat="1" applyFont="1" applyFill="1" applyBorder="1" applyAlignment="1">
      <alignment vertical="center" wrapText="1"/>
    </xf>
    <xf numFmtId="1" fontId="156" fillId="59" borderId="30" xfId="0" applyNumberFormat="1" applyFont="1" applyFill="1" applyBorder="1" applyAlignment="1">
      <alignment horizontal="center" vertical="center" wrapText="1"/>
    </xf>
    <xf numFmtId="188" fontId="11" fillId="59" borderId="30" xfId="0" applyNumberFormat="1" applyFont="1" applyFill="1" applyBorder="1" applyAlignment="1">
      <alignment horizontal="center" vertical="center" wrapText="1"/>
    </xf>
    <xf numFmtId="1" fontId="139" fillId="11" borderId="32" xfId="0" applyNumberFormat="1" applyFont="1" applyFill="1" applyBorder="1" applyAlignment="1">
      <alignment horizontal="center" vertical="center" wrapText="1"/>
    </xf>
    <xf numFmtId="1" fontId="2" fillId="59" borderId="68" xfId="0" applyNumberFormat="1" applyFont="1" applyFill="1" applyBorder="1" applyAlignment="1">
      <alignment horizontal="center" vertical="center" wrapText="1"/>
    </xf>
    <xf numFmtId="1" fontId="2" fillId="59" borderId="59" xfId="0" applyNumberFormat="1" applyFont="1" applyFill="1" applyBorder="1" applyAlignment="1">
      <alignment horizontal="center" vertical="center" wrapText="1"/>
    </xf>
    <xf numFmtId="0" fontId="157" fillId="59" borderId="30" xfId="0" applyFont="1" applyFill="1" applyBorder="1" applyAlignment="1">
      <alignment horizontal="center" vertical="center" wrapText="1"/>
    </xf>
    <xf numFmtId="0" fontId="2" fillId="59" borderId="59" xfId="0" applyFont="1" applyFill="1" applyBorder="1" applyAlignment="1">
      <alignment horizontal="center" vertical="center" wrapText="1"/>
    </xf>
    <xf numFmtId="0" fontId="3" fillId="59" borderId="40" xfId="0" applyFont="1" applyFill="1" applyBorder="1" applyAlignment="1">
      <alignment horizontal="center" vertical="center" wrapText="1"/>
    </xf>
    <xf numFmtId="3" fontId="35" fillId="59" borderId="30" xfId="0" applyNumberFormat="1" applyFont="1" applyFill="1" applyBorder="1" applyAlignment="1">
      <alignment horizontal="center" vertical="center" wrapText="1"/>
    </xf>
    <xf numFmtId="3" fontId="35" fillId="59" borderId="72" xfId="0" applyNumberFormat="1" applyFont="1" applyFill="1" applyBorder="1" applyAlignment="1">
      <alignment horizontal="center" vertical="center" wrapText="1"/>
    </xf>
    <xf numFmtId="0" fontId="2" fillId="59" borderId="101" xfId="0" applyFont="1" applyFill="1" applyBorder="1" applyAlignment="1">
      <alignment horizontal="center" vertical="center" wrapText="1"/>
    </xf>
    <xf numFmtId="0" fontId="12" fillId="59" borderId="101" xfId="0" applyFont="1" applyFill="1" applyBorder="1" applyAlignment="1">
      <alignment horizontal="center" vertical="center" wrapText="1"/>
    </xf>
    <xf numFmtId="1" fontId="12" fillId="59" borderId="63" xfId="0" applyNumberFormat="1" applyFont="1" applyFill="1" applyBorder="1" applyAlignment="1">
      <alignment horizontal="center" vertical="center" wrapText="1"/>
    </xf>
    <xf numFmtId="188" fontId="2" fillId="59" borderId="29" xfId="0" applyNumberFormat="1" applyFont="1" applyFill="1" applyBorder="1" applyAlignment="1">
      <alignment horizontal="center" vertical="center" wrapText="1"/>
    </xf>
    <xf numFmtId="0" fontId="137" fillId="59" borderId="32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43" fillId="0" borderId="79" xfId="0" applyFont="1" applyBorder="1" applyAlignment="1">
      <alignment/>
    </xf>
    <xf numFmtId="0" fontId="143" fillId="0" borderId="84" xfId="0" applyFont="1" applyBorder="1" applyAlignment="1">
      <alignment/>
    </xf>
    <xf numFmtId="0" fontId="145" fillId="57" borderId="80" xfId="0" applyFont="1" applyFill="1" applyBorder="1" applyAlignment="1">
      <alignment horizontal="right"/>
    </xf>
    <xf numFmtId="3" fontId="145" fillId="57" borderId="81" xfId="0" applyNumberFormat="1" applyFont="1" applyFill="1" applyBorder="1" applyAlignment="1">
      <alignment horizontal="center"/>
    </xf>
    <xf numFmtId="3" fontId="145" fillId="57" borderId="92" xfId="0" applyNumberFormat="1" applyFont="1" applyFill="1" applyBorder="1" applyAlignment="1">
      <alignment horizontal="center"/>
    </xf>
    <xf numFmtId="3" fontId="145" fillId="57" borderId="102" xfId="0" applyNumberFormat="1" applyFont="1" applyFill="1" applyBorder="1" applyAlignment="1">
      <alignment horizontal="center"/>
    </xf>
    <xf numFmtId="3" fontId="145" fillId="57" borderId="103" xfId="0" applyNumberFormat="1" applyFont="1" applyFill="1" applyBorder="1" applyAlignment="1">
      <alignment horizontal="center"/>
    </xf>
    <xf numFmtId="3" fontId="145" fillId="57" borderId="104" xfId="0" applyNumberFormat="1" applyFont="1" applyFill="1" applyBorder="1" applyAlignment="1">
      <alignment horizontal="center"/>
    </xf>
    <xf numFmtId="3" fontId="145" fillId="57" borderId="105" xfId="0" applyNumberFormat="1" applyFont="1" applyFill="1" applyBorder="1" applyAlignment="1">
      <alignment horizontal="center"/>
    </xf>
    <xf numFmtId="0" fontId="143" fillId="0" borderId="78" xfId="0" applyNumberFormat="1" applyFont="1" applyBorder="1" applyAlignment="1">
      <alignment vertical="center" wrapText="1"/>
    </xf>
    <xf numFmtId="3" fontId="158" fillId="0" borderId="0" xfId="0" applyNumberFormat="1" applyFont="1" applyAlignment="1">
      <alignment/>
    </xf>
    <xf numFmtId="0" fontId="159" fillId="57" borderId="106" xfId="0" applyFont="1" applyFill="1" applyBorder="1" applyAlignment="1">
      <alignment horizontal="center" vertical="center" wrapText="1"/>
    </xf>
    <xf numFmtId="3" fontId="159" fillId="0" borderId="63" xfId="0" applyNumberFormat="1" applyFont="1" applyBorder="1" applyAlignment="1">
      <alignment horizontal="center"/>
    </xf>
    <xf numFmtId="3" fontId="159" fillId="0" borderId="29" xfId="0" applyNumberFormat="1" applyFont="1" applyBorder="1" applyAlignment="1">
      <alignment horizontal="center"/>
    </xf>
    <xf numFmtId="3" fontId="159" fillId="0" borderId="64" xfId="0" applyNumberFormat="1" applyFont="1" applyBorder="1" applyAlignment="1">
      <alignment horizontal="center"/>
    </xf>
    <xf numFmtId="3" fontId="160" fillId="57" borderId="81" xfId="0" applyNumberFormat="1" applyFont="1" applyFill="1" applyBorder="1" applyAlignment="1">
      <alignment horizontal="center"/>
    </xf>
    <xf numFmtId="3" fontId="158" fillId="59" borderId="29" xfId="0" applyNumberFormat="1" applyFont="1" applyFill="1" applyBorder="1" applyAlignment="1">
      <alignment vertical="center" wrapText="1"/>
    </xf>
    <xf numFmtId="3" fontId="146" fillId="59" borderId="31" xfId="0" applyNumberFormat="1" applyFont="1" applyFill="1" applyBorder="1" applyAlignment="1">
      <alignment vertical="center" wrapText="1"/>
    </xf>
    <xf numFmtId="3" fontId="146" fillId="59" borderId="88" xfId="0" applyNumberFormat="1" applyFont="1" applyFill="1" applyBorder="1" applyAlignment="1">
      <alignment vertical="center" wrapText="1"/>
    </xf>
    <xf numFmtId="0" fontId="11" fillId="59" borderId="29" xfId="0" applyFont="1" applyFill="1" applyBorder="1" applyAlignment="1">
      <alignment vertical="center" wrapText="1"/>
    </xf>
    <xf numFmtId="3" fontId="11" fillId="0" borderId="29" xfId="0" applyNumberFormat="1" applyFont="1" applyBorder="1" applyAlignment="1">
      <alignment vertical="center" wrapText="1"/>
    </xf>
    <xf numFmtId="4" fontId="137" fillId="0" borderId="29" xfId="2078" applyNumberFormat="1" applyFont="1" applyBorder="1" applyAlignment="1">
      <alignment horizontal="center" vertical="center"/>
      <protection/>
    </xf>
    <xf numFmtId="0" fontId="85" fillId="11" borderId="63" xfId="0" applyFont="1" applyFill="1" applyBorder="1" applyAlignment="1">
      <alignment vertical="center" wrapText="1"/>
    </xf>
    <xf numFmtId="3" fontId="69" fillId="59" borderId="70" xfId="0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3" fontId="7" fillId="59" borderId="64" xfId="0" applyNumberFormat="1" applyFont="1" applyFill="1" applyBorder="1" applyAlignment="1">
      <alignment horizontal="center" vertical="center" wrapText="1"/>
    </xf>
    <xf numFmtId="3" fontId="7" fillId="59" borderId="29" xfId="0" applyNumberFormat="1" applyFont="1" applyFill="1" applyBorder="1" applyAlignment="1">
      <alignment horizontal="center" vertical="center" wrapText="1"/>
    </xf>
    <xf numFmtId="3" fontId="69" fillId="59" borderId="70" xfId="0" applyNumberFormat="1" applyFont="1" applyFill="1" applyBorder="1" applyAlignment="1">
      <alignment horizontal="center" vertical="center" wrapText="1"/>
    </xf>
    <xf numFmtId="3" fontId="5" fillId="59" borderId="70" xfId="0" applyNumberFormat="1" applyFont="1" applyFill="1" applyBorder="1" applyAlignment="1">
      <alignment horizontal="center" vertical="center" wrapText="1"/>
    </xf>
    <xf numFmtId="3" fontId="4" fillId="17" borderId="63" xfId="0" applyNumberFormat="1" applyFont="1" applyFill="1" applyBorder="1" applyAlignment="1">
      <alignment horizontal="center" vertical="center" wrapText="1"/>
    </xf>
    <xf numFmtId="0" fontId="161" fillId="0" borderId="0" xfId="0" applyFont="1" applyAlignment="1">
      <alignment vertical="center" wrapText="1"/>
    </xf>
    <xf numFmtId="2" fontId="161" fillId="0" borderId="0" xfId="0" applyNumberFormat="1" applyFont="1" applyAlignment="1">
      <alignment vertical="center" wrapText="1"/>
    </xf>
    <xf numFmtId="0" fontId="162" fillId="0" borderId="0" xfId="0" applyFont="1" applyAlignment="1">
      <alignment vertical="center" wrapText="1"/>
    </xf>
    <xf numFmtId="2" fontId="162" fillId="0" borderId="0" xfId="0" applyNumberFormat="1" applyFont="1" applyAlignment="1">
      <alignment vertical="center" wrapText="1"/>
    </xf>
    <xf numFmtId="2" fontId="10" fillId="0" borderId="0" xfId="0" applyNumberFormat="1" applyFont="1" applyAlignment="1">
      <alignment vertical="center" wrapText="1"/>
    </xf>
    <xf numFmtId="2" fontId="86" fillId="0" borderId="0" xfId="0" applyNumberFormat="1" applyFont="1" applyAlignment="1">
      <alignment vertical="center" wrapText="1"/>
    </xf>
    <xf numFmtId="0" fontId="12" fillId="59" borderId="29" xfId="1507" applyFont="1" applyFill="1" applyBorder="1" applyAlignment="1">
      <alignment vertical="center" wrapText="1"/>
      <protection/>
    </xf>
    <xf numFmtId="3" fontId="35" fillId="59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0" fontId="5" fillId="59" borderId="29" xfId="0" applyFont="1" applyFill="1" applyBorder="1" applyAlignment="1">
      <alignment/>
    </xf>
    <xf numFmtId="3" fontId="5" fillId="59" borderId="29" xfId="0" applyNumberFormat="1" applyFont="1" applyFill="1" applyBorder="1" applyAlignment="1">
      <alignment/>
    </xf>
    <xf numFmtId="0" fontId="3" fillId="0" borderId="70" xfId="0" applyFont="1" applyBorder="1" applyAlignment="1">
      <alignment/>
    </xf>
    <xf numFmtId="3" fontId="4" fillId="59" borderId="63" xfId="0" applyNumberFormat="1" applyFont="1" applyFill="1" applyBorder="1" applyAlignment="1">
      <alignment/>
    </xf>
    <xf numFmtId="3" fontId="4" fillId="59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143" fillId="59" borderId="0" xfId="0" applyNumberFormat="1" applyFont="1" applyFill="1" applyAlignment="1">
      <alignment/>
    </xf>
    <xf numFmtId="191" fontId="163" fillId="0" borderId="0" xfId="1425" applyNumberFormat="1" applyFont="1" applyAlignment="1">
      <alignment vertical="center" wrapText="1"/>
      <protection/>
    </xf>
    <xf numFmtId="1" fontId="5" fillId="59" borderId="0" xfId="0" applyNumberFormat="1" applyFont="1" applyFill="1" applyAlignment="1">
      <alignment/>
    </xf>
    <xf numFmtId="0" fontId="164" fillId="59" borderId="0" xfId="0" applyFont="1" applyFill="1" applyAlignment="1">
      <alignment/>
    </xf>
    <xf numFmtId="3" fontId="142" fillId="59" borderId="0" xfId="0" applyNumberFormat="1" applyFont="1" applyFill="1" applyAlignment="1">
      <alignment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1" fillId="61" borderId="29" xfId="0" applyFont="1" applyFill="1" applyBorder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3" fontId="2" fillId="59" borderId="29" xfId="1425" applyNumberFormat="1" applyFont="1" applyFill="1" applyBorder="1" applyAlignment="1">
      <alignment vertical="center" wrapText="1"/>
      <protection/>
    </xf>
    <xf numFmtId="3" fontId="143" fillId="59" borderId="29" xfId="0" applyNumberFormat="1" applyFont="1" applyFill="1" applyBorder="1" applyAlignment="1">
      <alignment/>
    </xf>
    <xf numFmtId="3" fontId="142" fillId="59" borderId="29" xfId="0" applyNumberFormat="1" applyFont="1" applyFill="1" applyBorder="1" applyAlignment="1">
      <alignment/>
    </xf>
    <xf numFmtId="0" fontId="5" fillId="11" borderId="79" xfId="0" applyFont="1" applyFill="1" applyBorder="1" applyAlignment="1">
      <alignment horizontal="left" vertical="center" wrapText="1"/>
    </xf>
    <xf numFmtId="3" fontId="158" fillId="59" borderId="88" xfId="0" applyNumberFormat="1" applyFont="1" applyFill="1" applyBorder="1" applyAlignment="1">
      <alignment vertical="center" wrapText="1"/>
    </xf>
    <xf numFmtId="0" fontId="145" fillId="59" borderId="0" xfId="0" applyFont="1" applyFill="1" applyAlignment="1">
      <alignment horizontal="right"/>
    </xf>
    <xf numFmtId="3" fontId="3" fillId="59" borderId="29" xfId="1425" applyNumberFormat="1" applyFont="1" applyFill="1" applyBorder="1" applyAlignment="1">
      <alignment vertical="center" wrapText="1"/>
      <protection/>
    </xf>
    <xf numFmtId="3" fontId="35" fillId="59" borderId="29" xfId="1425" applyNumberFormat="1" applyFont="1" applyFill="1" applyBorder="1" applyAlignment="1">
      <alignment vertical="center" wrapText="1"/>
      <protection/>
    </xf>
    <xf numFmtId="3" fontId="3" fillId="59" borderId="64" xfId="1425" applyNumberFormat="1" applyFont="1" applyFill="1" applyBorder="1" applyAlignment="1">
      <alignment vertical="center" wrapText="1"/>
      <protection/>
    </xf>
    <xf numFmtId="3" fontId="35" fillId="59" borderId="64" xfId="1425" applyNumberFormat="1" applyFont="1" applyFill="1" applyBorder="1" applyAlignment="1">
      <alignment vertical="center" wrapText="1"/>
      <protection/>
    </xf>
    <xf numFmtId="3" fontId="11" fillId="59" borderId="63" xfId="1425" applyNumberFormat="1" applyFont="1" applyFill="1" applyBorder="1" applyAlignment="1">
      <alignment vertical="center" wrapText="1"/>
      <protection/>
    </xf>
    <xf numFmtId="3" fontId="159" fillId="59" borderId="29" xfId="0" applyNumberFormat="1" applyFont="1" applyFill="1" applyBorder="1" applyAlignment="1">
      <alignment horizontal="center"/>
    </xf>
    <xf numFmtId="3" fontId="146" fillId="59" borderId="63" xfId="0" applyNumberFormat="1" applyFont="1" applyFill="1" applyBorder="1" applyAlignment="1">
      <alignment horizontal="center"/>
    </xf>
    <xf numFmtId="3" fontId="146" fillId="59" borderId="33" xfId="0" applyNumberFormat="1" applyFont="1" applyFill="1" applyBorder="1" applyAlignment="1">
      <alignment horizontal="center"/>
    </xf>
    <xf numFmtId="3" fontId="146" fillId="59" borderId="29" xfId="0" applyNumberFormat="1" applyFont="1" applyFill="1" applyBorder="1" applyAlignment="1">
      <alignment horizontal="center"/>
    </xf>
    <xf numFmtId="3" fontId="146" fillId="59" borderId="31" xfId="0" applyNumberFormat="1" applyFont="1" applyFill="1" applyBorder="1" applyAlignment="1">
      <alignment horizontal="center"/>
    </xf>
    <xf numFmtId="3" fontId="146" fillId="59" borderId="64" xfId="0" applyNumberFormat="1" applyFont="1" applyFill="1" applyBorder="1" applyAlignment="1">
      <alignment horizontal="center"/>
    </xf>
    <xf numFmtId="0" fontId="5" fillId="11" borderId="78" xfId="0" applyFont="1" applyFill="1" applyBorder="1" applyAlignment="1">
      <alignment horizontal="left" vertical="center" wrapText="1"/>
    </xf>
    <xf numFmtId="0" fontId="150" fillId="17" borderId="107" xfId="0" applyFont="1" applyFill="1" applyBorder="1" applyAlignment="1">
      <alignment horizontal="center" vertical="top" wrapText="1"/>
    </xf>
    <xf numFmtId="3" fontId="150" fillId="17" borderId="108" xfId="0" applyNumberFormat="1" applyFont="1" applyFill="1" applyBorder="1" applyAlignment="1">
      <alignment horizontal="center" vertical="top" wrapText="1"/>
    </xf>
    <xf numFmtId="3" fontId="150" fillId="17" borderId="109" xfId="0" applyNumberFormat="1" applyFont="1" applyFill="1" applyBorder="1" applyAlignment="1">
      <alignment horizontal="center" vertical="top" wrapText="1"/>
    </xf>
    <xf numFmtId="3" fontId="158" fillId="59" borderId="31" xfId="0" applyNumberFormat="1" applyFont="1" applyFill="1" applyBorder="1" applyAlignment="1">
      <alignment vertical="center" wrapText="1"/>
    </xf>
    <xf numFmtId="3" fontId="4" fillId="0" borderId="92" xfId="0" applyNumberFormat="1" applyFont="1" applyBorder="1" applyAlignment="1">
      <alignment vertical="center" wrapText="1"/>
    </xf>
    <xf numFmtId="3" fontId="146" fillId="59" borderId="33" xfId="0" applyNumberFormat="1" applyFont="1" applyFill="1" applyBorder="1" applyAlignment="1">
      <alignment vertical="center" wrapText="1"/>
    </xf>
    <xf numFmtId="0" fontId="150" fillId="17" borderId="108" xfId="0" applyFont="1" applyFill="1" applyBorder="1" applyAlignment="1">
      <alignment horizontal="center" vertical="top" wrapText="1"/>
    </xf>
    <xf numFmtId="3" fontId="12" fillId="59" borderId="31" xfId="0" applyNumberFormat="1" applyFont="1" applyFill="1" applyBorder="1" applyAlignment="1">
      <alignment vertical="center" wrapText="1"/>
    </xf>
    <xf numFmtId="187" fontId="165" fillId="0" borderId="29" xfId="2902" applyFont="1" applyBorder="1" applyAlignment="1" applyProtection="1">
      <alignment horizontal="center" vertical="center" wrapText="1"/>
      <protection/>
    </xf>
    <xf numFmtId="0" fontId="5" fillId="0" borderId="80" xfId="0" applyFont="1" applyBorder="1" applyAlignment="1">
      <alignment vertical="center" wrapText="1"/>
    </xf>
    <xf numFmtId="3" fontId="5" fillId="11" borderId="81" xfId="0" applyNumberFormat="1" applyFont="1" applyFill="1" applyBorder="1" applyAlignment="1">
      <alignment vertical="center" wrapText="1"/>
    </xf>
    <xf numFmtId="3" fontId="5" fillId="59" borderId="92" xfId="0" applyNumberFormat="1" applyFont="1" applyFill="1" applyBorder="1" applyAlignment="1">
      <alignment vertical="center" wrapText="1"/>
    </xf>
    <xf numFmtId="3" fontId="158" fillId="59" borderId="89" xfId="0" applyNumberFormat="1" applyFont="1" applyFill="1" applyBorder="1" applyAlignment="1">
      <alignment vertical="center" wrapText="1"/>
    </xf>
    <xf numFmtId="187" fontId="165" fillId="0" borderId="88" xfId="2902" applyFont="1" applyBorder="1" applyAlignment="1" applyProtection="1">
      <alignment horizontal="center" vertical="center" wrapText="1"/>
      <protection/>
    </xf>
    <xf numFmtId="1" fontId="5" fillId="0" borderId="91" xfId="0" applyNumberFormat="1" applyFont="1" applyBorder="1" applyAlignment="1">
      <alignment/>
    </xf>
    <xf numFmtId="0" fontId="5" fillId="0" borderId="91" xfId="0" applyFont="1" applyBorder="1" applyAlignment="1">
      <alignment/>
    </xf>
    <xf numFmtId="0" fontId="145" fillId="17" borderId="63" xfId="0" applyFont="1" applyFill="1" applyBorder="1" applyAlignment="1">
      <alignment horizontal="center" vertical="top" wrapText="1"/>
    </xf>
    <xf numFmtId="3" fontId="145" fillId="17" borderId="87" xfId="0" applyNumberFormat="1" applyFont="1" applyFill="1" applyBorder="1" applyAlignment="1">
      <alignment horizontal="center" vertical="top" wrapText="1"/>
    </xf>
    <xf numFmtId="3" fontId="145" fillId="17" borderId="33" xfId="0" applyNumberFormat="1" applyFont="1" applyFill="1" applyBorder="1" applyAlignment="1">
      <alignment horizontal="center" vertical="top" wrapText="1"/>
    </xf>
    <xf numFmtId="3" fontId="145" fillId="0" borderId="92" xfId="0" applyNumberFormat="1" applyFont="1" applyBorder="1" applyAlignment="1">
      <alignment vertical="center" wrapText="1"/>
    </xf>
    <xf numFmtId="0" fontId="139" fillId="0" borderId="78" xfId="0" applyFont="1" applyBorder="1" applyAlignment="1" applyProtection="1">
      <alignment horizontal="left" vertical="center" wrapText="1" indent="2"/>
      <protection locked="0"/>
    </xf>
    <xf numFmtId="187" fontId="165" fillId="0" borderId="87" xfId="2902" applyFont="1" applyBorder="1" applyAlignment="1" applyProtection="1">
      <alignment horizontal="center" vertical="center" wrapText="1"/>
      <protection/>
    </xf>
    <xf numFmtId="0" fontId="4" fillId="0" borderId="82" xfId="0" applyFont="1" applyBorder="1" applyAlignment="1">
      <alignment vertical="center" wrapText="1"/>
    </xf>
    <xf numFmtId="1" fontId="4" fillId="0" borderId="106" xfId="0" applyNumberFormat="1" applyFont="1" applyBorder="1" applyAlignment="1">
      <alignment vertical="center" wrapText="1"/>
    </xf>
    <xf numFmtId="3" fontId="145" fillId="0" borderId="106" xfId="0" applyNumberFormat="1" applyFont="1" applyBorder="1" applyAlignment="1">
      <alignment vertical="center" wrapText="1"/>
    </xf>
    <xf numFmtId="3" fontId="145" fillId="0" borderId="110" xfId="0" applyNumberFormat="1" applyFont="1" applyBorder="1" applyAlignment="1">
      <alignment vertical="center" wrapText="1"/>
    </xf>
    <xf numFmtId="187" fontId="166" fillId="0" borderId="87" xfId="2902" applyFont="1" applyBorder="1" applyAlignment="1" applyProtection="1">
      <alignment horizontal="center" vertical="center" wrapText="1"/>
      <protection/>
    </xf>
    <xf numFmtId="187" fontId="165" fillId="0" borderId="91" xfId="2902" applyFont="1" applyBorder="1" applyAlignment="1" applyProtection="1">
      <alignment horizontal="center" vertical="center" wrapText="1"/>
      <protection/>
    </xf>
    <xf numFmtId="187" fontId="165" fillId="0" borderId="89" xfId="2902" applyFont="1" applyBorder="1" applyAlignment="1" applyProtection="1">
      <alignment horizontal="center" vertical="center" wrapText="1"/>
      <protection/>
    </xf>
    <xf numFmtId="187" fontId="165" fillId="0" borderId="111" xfId="2902" applyFont="1" applyBorder="1" applyAlignment="1" applyProtection="1">
      <alignment horizontal="center" vertical="center" wrapText="1"/>
      <protection/>
    </xf>
    <xf numFmtId="0" fontId="5" fillId="0" borderId="112" xfId="0" applyFont="1" applyFill="1" applyBorder="1" applyAlignment="1">
      <alignment vertical="center" wrapText="1"/>
    </xf>
    <xf numFmtId="3" fontId="4" fillId="0" borderId="108" xfId="0" applyNumberFormat="1" applyFont="1" applyBorder="1" applyAlignment="1">
      <alignment vertical="center" wrapText="1"/>
    </xf>
    <xf numFmtId="3" fontId="143" fillId="11" borderId="108" xfId="0" applyNumberFormat="1" applyFont="1" applyFill="1" applyBorder="1" applyAlignment="1">
      <alignment vertical="center" wrapText="1"/>
    </xf>
    <xf numFmtId="3" fontId="143" fillId="11" borderId="107" xfId="0" applyNumberFormat="1" applyFont="1" applyFill="1" applyBorder="1" applyAlignment="1">
      <alignment vertical="center" wrapText="1"/>
    </xf>
    <xf numFmtId="187" fontId="165" fillId="0" borderId="113" xfId="2902" applyFont="1" applyBorder="1" applyAlignment="1" applyProtection="1">
      <alignment horizontal="center" vertical="center" wrapText="1"/>
      <protection/>
    </xf>
    <xf numFmtId="3" fontId="5" fillId="11" borderId="64" xfId="0" applyNumberFormat="1" applyFont="1" applyFill="1" applyBorder="1" applyAlignment="1">
      <alignment vertical="center" wrapText="1"/>
    </xf>
    <xf numFmtId="187" fontId="166" fillId="0" borderId="89" xfId="2902" applyFont="1" applyBorder="1" applyAlignment="1" applyProtection="1">
      <alignment horizontal="center" vertical="center" wrapText="1"/>
      <protection/>
    </xf>
    <xf numFmtId="3" fontId="145" fillId="17" borderId="92" xfId="0" applyNumberFormat="1" applyFont="1" applyFill="1" applyBorder="1" applyAlignment="1">
      <alignment vertical="center" wrapText="1"/>
    </xf>
    <xf numFmtId="3" fontId="144" fillId="59" borderId="31" xfId="0" applyNumberFormat="1" applyFont="1" applyFill="1" applyBorder="1" applyAlignment="1">
      <alignment vertical="center" wrapText="1"/>
    </xf>
    <xf numFmtId="0" fontId="167" fillId="0" borderId="0" xfId="0" applyFont="1" applyAlignment="1">
      <alignment vertical="center" wrapText="1"/>
    </xf>
    <xf numFmtId="3" fontId="168" fillId="0" borderId="0" xfId="0" applyNumberFormat="1" applyFont="1" applyAlignment="1">
      <alignment vertical="center" wrapText="1"/>
    </xf>
    <xf numFmtId="0" fontId="168" fillId="0" borderId="0" xfId="0" applyFont="1" applyAlignment="1">
      <alignment vertical="center" wrapText="1"/>
    </xf>
    <xf numFmtId="3" fontId="153" fillId="17" borderId="29" xfId="0" applyNumberFormat="1" applyFont="1" applyFill="1" applyBorder="1" applyAlignment="1">
      <alignment vertical="center" wrapText="1"/>
    </xf>
    <xf numFmtId="0" fontId="169" fillId="0" borderId="29" xfId="0" applyFont="1" applyBorder="1" applyAlignment="1">
      <alignment vertical="center" wrapText="1"/>
    </xf>
    <xf numFmtId="1" fontId="170" fillId="59" borderId="30" xfId="0" applyNumberFormat="1" applyFont="1" applyFill="1" applyBorder="1" applyAlignment="1">
      <alignment horizontal="center" vertical="center" wrapText="1"/>
    </xf>
    <xf numFmtId="0" fontId="170" fillId="59" borderId="30" xfId="0" applyFont="1" applyFill="1" applyBorder="1" applyAlignment="1">
      <alignment horizontal="center" vertical="center" wrapText="1"/>
    </xf>
    <xf numFmtId="1" fontId="170" fillId="59" borderId="29" xfId="0" applyNumberFormat="1" applyFont="1" applyFill="1" applyBorder="1" applyAlignment="1">
      <alignment horizontal="center" vertical="center" wrapText="1"/>
    </xf>
    <xf numFmtId="0" fontId="170" fillId="11" borderId="54" xfId="0" applyFont="1" applyFill="1" applyBorder="1" applyAlignment="1">
      <alignment horizontal="center" vertical="center" wrapText="1"/>
    </xf>
    <xf numFmtId="0" fontId="170" fillId="11" borderId="0" xfId="0" applyFont="1" applyFill="1" applyBorder="1" applyAlignment="1">
      <alignment horizontal="center" vertical="center" wrapText="1"/>
    </xf>
    <xf numFmtId="0" fontId="2" fillId="59" borderId="29" xfId="0" applyFont="1" applyFill="1" applyBorder="1" applyAlignment="1">
      <alignment horizontal="center" vertical="center" wrapText="1"/>
    </xf>
    <xf numFmtId="0" fontId="2" fillId="59" borderId="31" xfId="0" applyFont="1" applyFill="1" applyBorder="1" applyAlignment="1">
      <alignment horizontal="center" vertical="center" wrapText="1"/>
    </xf>
    <xf numFmtId="0" fontId="171" fillId="59" borderId="0" xfId="0" applyFont="1" applyFill="1" applyAlignment="1">
      <alignment/>
    </xf>
    <xf numFmtId="0" fontId="4" fillId="17" borderId="114" xfId="0" applyFont="1" applyFill="1" applyBorder="1" applyAlignment="1">
      <alignment horizontal="center" vertical="center" wrapText="1"/>
    </xf>
    <xf numFmtId="0" fontId="4" fillId="17" borderId="75" xfId="0" applyFont="1" applyFill="1" applyBorder="1" applyAlignment="1">
      <alignment horizontal="center" vertical="center" wrapText="1"/>
    </xf>
    <xf numFmtId="0" fontId="4" fillId="17" borderId="106" xfId="0" applyFont="1" applyFill="1" applyBorder="1" applyAlignment="1">
      <alignment horizontal="center" vertical="center" wrapText="1"/>
    </xf>
    <xf numFmtId="0" fontId="145" fillId="17" borderId="75" xfId="0" applyFont="1" applyFill="1" applyBorder="1" applyAlignment="1">
      <alignment horizontal="center" vertical="top" wrapText="1"/>
    </xf>
    <xf numFmtId="0" fontId="145" fillId="17" borderId="106" xfId="0" applyFont="1" applyFill="1" applyBorder="1" applyAlignment="1">
      <alignment horizontal="center" vertical="top" wrapText="1"/>
    </xf>
    <xf numFmtId="0" fontId="145" fillId="17" borderId="63" xfId="0" applyFont="1" applyFill="1" applyBorder="1" applyAlignment="1">
      <alignment horizontal="center" vertical="top" wrapText="1"/>
    </xf>
    <xf numFmtId="0" fontId="145" fillId="17" borderId="108" xfId="0" applyFont="1" applyFill="1" applyBorder="1" applyAlignment="1">
      <alignment horizontal="center" vertical="top" wrapText="1"/>
    </xf>
    <xf numFmtId="3" fontId="145" fillId="17" borderId="87" xfId="0" applyNumberFormat="1" applyFont="1" applyFill="1" applyBorder="1" applyAlignment="1">
      <alignment horizontal="center" vertical="top" wrapText="1"/>
    </xf>
    <xf numFmtId="3" fontId="145" fillId="17" borderId="113" xfId="0" applyNumberFormat="1" applyFont="1" applyFill="1" applyBorder="1" applyAlignment="1">
      <alignment horizontal="center" vertical="top" wrapText="1"/>
    </xf>
    <xf numFmtId="0" fontId="172" fillId="17" borderId="115" xfId="0" applyFont="1" applyFill="1" applyBorder="1" applyAlignment="1">
      <alignment horizontal="center" vertical="center" wrapText="1"/>
    </xf>
    <xf numFmtId="0" fontId="172" fillId="17" borderId="116" xfId="0" applyFont="1" applyFill="1" applyBorder="1" applyAlignment="1">
      <alignment horizontal="center" vertical="center" wrapText="1"/>
    </xf>
    <xf numFmtId="0" fontId="145" fillId="17" borderId="64" xfId="0" applyFont="1" applyFill="1" applyBorder="1" applyAlignment="1">
      <alignment horizontal="center" vertical="top" wrapText="1"/>
    </xf>
    <xf numFmtId="0" fontId="145" fillId="17" borderId="29" xfId="0" applyFont="1" applyFill="1" applyBorder="1" applyAlignment="1">
      <alignment horizontal="center" vertical="top" wrapText="1"/>
    </xf>
    <xf numFmtId="3" fontId="145" fillId="17" borderId="88" xfId="0" applyNumberFormat="1" applyFont="1" applyFill="1" applyBorder="1" applyAlignment="1">
      <alignment horizontal="center" vertical="top" wrapText="1"/>
    </xf>
    <xf numFmtId="0" fontId="4" fillId="17" borderId="117" xfId="0" applyFont="1" applyFill="1" applyBorder="1" applyAlignment="1">
      <alignment horizontal="center" vertical="center" wrapText="1"/>
    </xf>
    <xf numFmtId="0" fontId="5" fillId="59" borderId="0" xfId="0" applyFont="1" applyFill="1" applyAlignment="1">
      <alignment horizontal="center"/>
    </xf>
    <xf numFmtId="0" fontId="172" fillId="17" borderId="118" xfId="0" applyFont="1" applyFill="1" applyBorder="1" applyAlignment="1">
      <alignment horizontal="center" vertical="center" wrapText="1"/>
    </xf>
    <xf numFmtId="0" fontId="145" fillId="17" borderId="84" xfId="0" applyFont="1" applyFill="1" applyBorder="1" applyAlignment="1">
      <alignment horizontal="center" vertical="top" wrapText="1"/>
    </xf>
    <xf numFmtId="0" fontId="145" fillId="17" borderId="82" xfId="0" applyFont="1" applyFill="1" applyBorder="1" applyAlignment="1">
      <alignment horizontal="center" vertical="top" wrapText="1"/>
    </xf>
    <xf numFmtId="0" fontId="4" fillId="17" borderId="119" xfId="0" applyFont="1" applyFill="1" applyBorder="1" applyAlignment="1">
      <alignment horizontal="center" vertical="center" wrapText="1"/>
    </xf>
    <xf numFmtId="0" fontId="4" fillId="17" borderId="120" xfId="0" applyFont="1" applyFill="1" applyBorder="1" applyAlignment="1">
      <alignment horizontal="center" vertical="center" wrapText="1"/>
    </xf>
    <xf numFmtId="0" fontId="4" fillId="17" borderId="121" xfId="0" applyFont="1" applyFill="1" applyBorder="1" applyAlignment="1">
      <alignment horizontal="center" vertical="center" wrapText="1"/>
    </xf>
    <xf numFmtId="0" fontId="4" fillId="17" borderId="122" xfId="0" applyFont="1" applyFill="1" applyBorder="1" applyAlignment="1">
      <alignment horizontal="center" vertical="center" wrapText="1"/>
    </xf>
    <xf numFmtId="0" fontId="4" fillId="17" borderId="83" xfId="0" applyFont="1" applyFill="1" applyBorder="1" applyAlignment="1">
      <alignment horizontal="center" vertical="center" wrapText="1"/>
    </xf>
    <xf numFmtId="0" fontId="4" fillId="17" borderId="82" xfId="0" applyFont="1" applyFill="1" applyBorder="1" applyAlignment="1">
      <alignment horizontal="center" vertical="center" wrapText="1"/>
    </xf>
    <xf numFmtId="0" fontId="35" fillId="0" borderId="123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4" fillId="17" borderId="124" xfId="0" applyFont="1" applyFill="1" applyBorder="1" applyAlignment="1">
      <alignment horizontal="center" vertical="center" wrapText="1"/>
    </xf>
    <xf numFmtId="0" fontId="4" fillId="17" borderId="125" xfId="0" applyFont="1" applyFill="1" applyBorder="1" applyAlignment="1">
      <alignment horizontal="center" vertical="center" wrapText="1"/>
    </xf>
    <xf numFmtId="0" fontId="4" fillId="17" borderId="126" xfId="0" applyFont="1" applyFill="1" applyBorder="1" applyAlignment="1">
      <alignment horizontal="center" vertical="center" wrapText="1"/>
    </xf>
    <xf numFmtId="0" fontId="4" fillId="17" borderId="127" xfId="0" applyFont="1" applyFill="1" applyBorder="1" applyAlignment="1">
      <alignment horizontal="center" vertical="center" wrapText="1"/>
    </xf>
    <xf numFmtId="0" fontId="172" fillId="17" borderId="124" xfId="0" applyFont="1" applyFill="1" applyBorder="1" applyAlignment="1">
      <alignment horizontal="center" vertical="center" wrapText="1"/>
    </xf>
    <xf numFmtId="0" fontId="172" fillId="17" borderId="125" xfId="0" applyFont="1" applyFill="1" applyBorder="1" applyAlignment="1">
      <alignment horizontal="center" vertical="center" wrapText="1"/>
    </xf>
    <xf numFmtId="0" fontId="172" fillId="17" borderId="126" xfId="0" applyFont="1" applyFill="1" applyBorder="1" applyAlignment="1">
      <alignment horizontal="center" vertical="center" wrapText="1"/>
    </xf>
    <xf numFmtId="0" fontId="14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17" borderId="118" xfId="0" applyFont="1" applyFill="1" applyBorder="1" applyAlignment="1">
      <alignment horizontal="center" vertical="center" wrapText="1"/>
    </xf>
    <xf numFmtId="0" fontId="4" fillId="17" borderId="115" xfId="0" applyFont="1" applyFill="1" applyBorder="1" applyAlignment="1">
      <alignment horizontal="center" vertical="center" wrapText="1"/>
    </xf>
    <xf numFmtId="0" fontId="4" fillId="17" borderId="116" xfId="0" applyFont="1" applyFill="1" applyBorder="1" applyAlignment="1">
      <alignment horizontal="center" vertical="center" wrapText="1"/>
    </xf>
    <xf numFmtId="0" fontId="4" fillId="17" borderId="128" xfId="0" applyFont="1" applyFill="1" applyBorder="1" applyAlignment="1">
      <alignment horizontal="center" vertical="center" wrapText="1"/>
    </xf>
    <xf numFmtId="0" fontId="4" fillId="17" borderId="129" xfId="0" applyFont="1" applyFill="1" applyBorder="1" applyAlignment="1">
      <alignment horizontal="center" vertical="center" wrapText="1"/>
    </xf>
    <xf numFmtId="0" fontId="145" fillId="17" borderId="33" xfId="0" applyFont="1" applyFill="1" applyBorder="1" applyAlignment="1">
      <alignment horizontal="center" vertical="top" wrapText="1"/>
    </xf>
    <xf numFmtId="0" fontId="145" fillId="17" borderId="54" xfId="0" applyFont="1" applyFill="1" applyBorder="1" applyAlignment="1">
      <alignment horizontal="center" vertical="top" wrapText="1"/>
    </xf>
    <xf numFmtId="0" fontId="145" fillId="17" borderId="130" xfId="0" applyFont="1" applyFill="1" applyBorder="1" applyAlignment="1">
      <alignment horizontal="center" vertical="top" wrapText="1"/>
    </xf>
    <xf numFmtId="0" fontId="145" fillId="17" borderId="131" xfId="0" applyFont="1" applyFill="1" applyBorder="1" applyAlignment="1">
      <alignment horizontal="center" vertical="center" wrapText="1"/>
    </xf>
    <xf numFmtId="0" fontId="145" fillId="17" borderId="120" xfId="0" applyFont="1" applyFill="1" applyBorder="1" applyAlignment="1">
      <alignment horizontal="center" vertical="center" wrapText="1"/>
    </xf>
    <xf numFmtId="0" fontId="145" fillId="17" borderId="121" xfId="0" applyFont="1" applyFill="1" applyBorder="1" applyAlignment="1">
      <alignment horizontal="center" vertical="center" wrapText="1"/>
    </xf>
    <xf numFmtId="0" fontId="4" fillId="17" borderId="63" xfId="0" applyFont="1" applyFill="1" applyBorder="1" applyAlignment="1">
      <alignment horizontal="center" vertical="center" wrapText="1"/>
    </xf>
    <xf numFmtId="0" fontId="145" fillId="59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42" fillId="0" borderId="0" xfId="0" applyFont="1" applyAlignment="1">
      <alignment horizontal="center" vertical="center" wrapText="1"/>
    </xf>
    <xf numFmtId="3" fontId="35" fillId="0" borderId="118" xfId="0" applyNumberFormat="1" applyFont="1" applyBorder="1" applyAlignment="1">
      <alignment horizontal="center" vertical="center" wrapText="1"/>
    </xf>
    <xf numFmtId="3" fontId="35" fillId="0" borderId="1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2" fillId="0" borderId="0" xfId="1425" applyFont="1" applyAlignment="1">
      <alignment horizontal="center" vertical="center" wrapText="1"/>
      <protection/>
    </xf>
    <xf numFmtId="0" fontId="2" fillId="17" borderId="64" xfId="1425" applyFont="1" applyFill="1" applyBorder="1" applyAlignment="1">
      <alignment horizontal="center" vertical="center" wrapText="1"/>
      <protection/>
    </xf>
    <xf numFmtId="0" fontId="2" fillId="17" borderId="75" xfId="1425" applyFont="1" applyFill="1" applyBorder="1" applyAlignment="1">
      <alignment horizontal="center" vertical="center" wrapText="1"/>
      <protection/>
    </xf>
    <xf numFmtId="0" fontId="2" fillId="17" borderId="63" xfId="1425" applyFont="1" applyFill="1" applyBorder="1" applyAlignment="1">
      <alignment horizontal="center" vertical="center" wrapText="1"/>
      <protection/>
    </xf>
    <xf numFmtId="0" fontId="3" fillId="17" borderId="64" xfId="1425" applyFont="1" applyFill="1" applyBorder="1" applyAlignment="1">
      <alignment horizontal="center" vertical="center" wrapText="1"/>
      <protection/>
    </xf>
    <xf numFmtId="0" fontId="3" fillId="17" borderId="75" xfId="1425" applyFont="1" applyFill="1" applyBorder="1" applyAlignment="1">
      <alignment horizontal="center" vertical="center" wrapText="1"/>
      <protection/>
    </xf>
    <xf numFmtId="0" fontId="3" fillId="17" borderId="63" xfId="1425" applyFont="1" applyFill="1" applyBorder="1" applyAlignment="1">
      <alignment horizontal="center" vertical="center" wrapText="1"/>
      <protection/>
    </xf>
    <xf numFmtId="0" fontId="2" fillId="17" borderId="29" xfId="1425" applyFont="1" applyFill="1" applyBorder="1" applyAlignment="1">
      <alignment horizontal="center" vertical="center" wrapText="1"/>
      <protection/>
    </xf>
    <xf numFmtId="0" fontId="145" fillId="57" borderId="132" xfId="0" applyFont="1" applyFill="1" applyBorder="1" applyAlignment="1">
      <alignment horizontal="center" vertical="center" wrapText="1"/>
    </xf>
    <xf numFmtId="0" fontId="145" fillId="57" borderId="133" xfId="0" applyFont="1" applyFill="1" applyBorder="1" applyAlignment="1">
      <alignment horizontal="center" vertical="center" wrapText="1"/>
    </xf>
    <xf numFmtId="0" fontId="142" fillId="0" borderId="0" xfId="0" applyFont="1" applyAlignment="1">
      <alignment horizontal="center"/>
    </xf>
    <xf numFmtId="0" fontId="143" fillId="57" borderId="122" xfId="0" applyFont="1" applyFill="1" applyBorder="1" applyAlignment="1">
      <alignment horizontal="center" vertical="center" wrapText="1"/>
    </xf>
    <xf numFmtId="0" fontId="143" fillId="57" borderId="82" xfId="0" applyFont="1" applyFill="1" applyBorder="1" applyAlignment="1">
      <alignment horizontal="center" vertical="center" wrapText="1"/>
    </xf>
    <xf numFmtId="0" fontId="150" fillId="57" borderId="114" xfId="0" applyFont="1" applyFill="1" applyBorder="1" applyAlignment="1">
      <alignment horizontal="center" vertical="center" wrapText="1"/>
    </xf>
    <xf numFmtId="0" fontId="150" fillId="57" borderId="106" xfId="0" applyFont="1" applyFill="1" applyBorder="1" applyAlignment="1">
      <alignment horizontal="center" vertical="center" wrapText="1"/>
    </xf>
    <xf numFmtId="0" fontId="150" fillId="57" borderId="131" xfId="0" applyFont="1" applyFill="1" applyBorder="1" applyAlignment="1">
      <alignment horizontal="center" vertical="center" wrapText="1"/>
    </xf>
    <xf numFmtId="0" fontId="150" fillId="57" borderId="120" xfId="0" applyFont="1" applyFill="1" applyBorder="1" applyAlignment="1">
      <alignment horizontal="center" vertical="center" wrapText="1"/>
    </xf>
    <xf numFmtId="0" fontId="150" fillId="57" borderId="121" xfId="0" applyFont="1" applyFill="1" applyBorder="1" applyAlignment="1">
      <alignment horizontal="center" vertical="center" wrapText="1"/>
    </xf>
    <xf numFmtId="0" fontId="15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55" fillId="59" borderId="0" xfId="0" applyFont="1" applyFill="1" applyAlignment="1">
      <alignment horizontal="center" vertical="center" wrapText="1"/>
    </xf>
    <xf numFmtId="0" fontId="3" fillId="17" borderId="134" xfId="0" applyFont="1" applyFill="1" applyBorder="1" applyAlignment="1">
      <alignment horizontal="center" vertical="center" wrapText="1"/>
    </xf>
    <xf numFmtId="0" fontId="3" fillId="17" borderId="58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8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1" fontId="139" fillId="11" borderId="37" xfId="0" applyNumberFormat="1" applyFont="1" applyFill="1" applyBorder="1" applyAlignment="1">
      <alignment horizontal="center" vertical="center" wrapText="1"/>
    </xf>
    <xf numFmtId="1" fontId="139" fillId="11" borderId="68" xfId="0" applyNumberFormat="1" applyFont="1" applyFill="1" applyBorder="1" applyAlignment="1">
      <alignment horizontal="center" vertical="center" wrapText="1"/>
    </xf>
    <xf numFmtId="1" fontId="139" fillId="11" borderId="32" xfId="0" applyNumberFormat="1" applyFont="1" applyFill="1" applyBorder="1" applyAlignment="1">
      <alignment horizontal="center" vertical="center" wrapText="1"/>
    </xf>
    <xf numFmtId="0" fontId="3" fillId="59" borderId="0" xfId="0" applyFont="1" applyFill="1" applyAlignment="1">
      <alignment horizontal="center" vertical="center" wrapText="1"/>
    </xf>
    <xf numFmtId="0" fontId="155" fillId="11" borderId="0" xfId="0" applyFont="1" applyFill="1" applyAlignment="1">
      <alignment horizontal="center" vertical="center" wrapText="1"/>
    </xf>
    <xf numFmtId="0" fontId="3" fillId="17" borderId="67" xfId="0" applyFont="1" applyFill="1" applyBorder="1" applyAlignment="1">
      <alignment horizontal="center" vertical="top" wrapText="1"/>
    </xf>
    <xf numFmtId="0" fontId="3" fillId="17" borderId="135" xfId="0" applyFont="1" applyFill="1" applyBorder="1" applyAlignment="1">
      <alignment horizontal="center" vertical="top" wrapText="1"/>
    </xf>
    <xf numFmtId="0" fontId="3" fillId="17" borderId="28" xfId="0" applyFont="1" applyFill="1" applyBorder="1" applyAlignment="1">
      <alignment horizontal="center" vertical="top" wrapText="1"/>
    </xf>
    <xf numFmtId="0" fontId="3" fillId="17" borderId="39" xfId="0" applyFont="1" applyFill="1" applyBorder="1" applyAlignment="1">
      <alignment horizontal="center" vertical="top" wrapText="1"/>
    </xf>
    <xf numFmtId="0" fontId="4" fillId="17" borderId="136" xfId="0" applyFont="1" applyFill="1" applyBorder="1" applyAlignment="1">
      <alignment horizontal="center" vertical="top" wrapText="1"/>
    </xf>
    <xf numFmtId="0" fontId="4" fillId="17" borderId="137" xfId="0" applyFont="1" applyFill="1" applyBorder="1" applyAlignment="1">
      <alignment horizontal="center" vertical="top" wrapText="1"/>
    </xf>
    <xf numFmtId="0" fontId="3" fillId="17" borderId="65" xfId="0" applyFont="1" applyFill="1" applyBorder="1" applyAlignment="1">
      <alignment horizontal="center" vertical="top" wrapText="1"/>
    </xf>
    <xf numFmtId="0" fontId="3" fillId="17" borderId="98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68" fillId="0" borderId="0" xfId="0" applyFont="1" applyBorder="1" applyAlignment="1">
      <alignment horizontal="center"/>
    </xf>
    <xf numFmtId="0" fontId="2" fillId="17" borderId="31" xfId="855" applyFont="1" applyFill="1" applyBorder="1" applyAlignment="1" applyProtection="1">
      <alignment horizontal="center" vertical="center" wrapText="1"/>
      <protection/>
    </xf>
    <xf numFmtId="0" fontId="2" fillId="17" borderId="96" xfId="855" applyFont="1" applyFill="1" applyBorder="1" applyAlignment="1" applyProtection="1">
      <alignment horizontal="center" vertical="center" wrapText="1"/>
      <protection/>
    </xf>
    <xf numFmtId="0" fontId="2" fillId="17" borderId="66" xfId="855" applyFont="1" applyFill="1" applyBorder="1" applyAlignment="1" applyProtection="1">
      <alignment horizontal="center" vertical="center" wrapText="1"/>
      <protection/>
    </xf>
    <xf numFmtId="0" fontId="2" fillId="17" borderId="64" xfId="0" applyFont="1" applyFill="1" applyBorder="1" applyAlignment="1">
      <alignment horizontal="center" vertical="center" wrapText="1"/>
    </xf>
    <xf numFmtId="0" fontId="2" fillId="17" borderId="75" xfId="0" applyFont="1" applyFill="1" applyBorder="1" applyAlignment="1">
      <alignment horizontal="center" vertical="center" wrapText="1"/>
    </xf>
    <xf numFmtId="0" fontId="2" fillId="17" borderId="63" xfId="0" applyFont="1" applyFill="1" applyBorder="1" applyAlignment="1">
      <alignment horizontal="center" vertical="center" wrapText="1"/>
    </xf>
    <xf numFmtId="0" fontId="3" fillId="17" borderId="64" xfId="0" applyFont="1" applyFill="1" applyBorder="1" applyAlignment="1">
      <alignment horizontal="center" vertical="center" wrapText="1"/>
    </xf>
    <xf numFmtId="0" fontId="3" fillId="17" borderId="75" xfId="0" applyFont="1" applyFill="1" applyBorder="1" applyAlignment="1">
      <alignment horizontal="center" vertical="center" wrapText="1"/>
    </xf>
    <xf numFmtId="0" fontId="3" fillId="17" borderId="63" xfId="0" applyFont="1" applyFill="1" applyBorder="1" applyAlignment="1">
      <alignment horizontal="center" vertical="center" wrapText="1"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2" fillId="17" borderId="64" xfId="855" applyFont="1" applyFill="1" applyBorder="1" applyAlignment="1" applyProtection="1">
      <alignment horizontal="center" vertical="center" wrapText="1"/>
      <protection/>
    </xf>
    <xf numFmtId="0" fontId="2" fillId="17" borderId="63" xfId="855" applyFont="1" applyFill="1" applyBorder="1" applyAlignment="1" applyProtection="1">
      <alignment horizontal="center" vertical="center" wrapText="1"/>
      <protection/>
    </xf>
    <xf numFmtId="0" fontId="10" fillId="0" borderId="64" xfId="2078" applyFont="1" applyBorder="1" applyAlignment="1">
      <alignment horizontal="center" vertical="center" wrapText="1"/>
      <protection/>
    </xf>
    <xf numFmtId="0" fontId="10" fillId="0" borderId="75" xfId="2078" applyFont="1" applyBorder="1" applyAlignment="1">
      <alignment horizontal="center" vertical="center" wrapText="1"/>
      <protection/>
    </xf>
    <xf numFmtId="0" fontId="173" fillId="0" borderId="0" xfId="0" applyFont="1" applyAlignment="1">
      <alignment horizontal="center" vertical="center" wrapText="1"/>
    </xf>
    <xf numFmtId="0" fontId="148" fillId="0" borderId="64" xfId="2078" applyFont="1" applyBorder="1" applyAlignment="1">
      <alignment horizontal="center" vertical="center" wrapText="1"/>
      <protection/>
    </xf>
    <xf numFmtId="0" fontId="148" fillId="0" borderId="63" xfId="2078" applyFont="1" applyBorder="1" applyAlignment="1">
      <alignment horizontal="center" vertical="center" wrapText="1"/>
      <protection/>
    </xf>
    <xf numFmtId="0" fontId="148" fillId="60" borderId="64" xfId="2078" applyFont="1" applyFill="1" applyBorder="1" applyAlignment="1">
      <alignment horizontal="center" vertical="center" wrapText="1"/>
      <protection/>
    </xf>
    <xf numFmtId="0" fontId="148" fillId="60" borderId="63" xfId="2078" applyFont="1" applyFill="1" applyBorder="1" applyAlignment="1">
      <alignment horizontal="center" vertical="center" wrapText="1"/>
      <protection/>
    </xf>
    <xf numFmtId="0" fontId="151" fillId="0" borderId="64" xfId="2078" applyFont="1" applyBorder="1" applyAlignment="1">
      <alignment horizontal="center" vertical="center" wrapText="1"/>
      <protection/>
    </xf>
    <xf numFmtId="0" fontId="151" fillId="0" borderId="75" xfId="2078" applyFont="1" applyBorder="1" applyAlignment="1">
      <alignment horizontal="center" vertical="center" wrapText="1"/>
      <protection/>
    </xf>
    <xf numFmtId="0" fontId="168" fillId="15" borderId="64" xfId="2078" applyFont="1" applyFill="1" applyBorder="1" applyAlignment="1">
      <alignment horizontal="center" vertical="center" wrapText="1"/>
      <protection/>
    </xf>
    <xf numFmtId="0" fontId="168" fillId="15" borderId="75" xfId="2078" applyFont="1" applyFill="1" applyBorder="1" applyAlignment="1">
      <alignment horizontal="center" vertical="center" wrapText="1"/>
      <protection/>
    </xf>
    <xf numFmtId="2" fontId="150" fillId="59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143" fillId="0" borderId="0" xfId="919" applyFont="1" applyAlignment="1">
      <alignment horizontal="center" vertical="center" wrapText="1"/>
      <protection/>
    </xf>
    <xf numFmtId="2" fontId="152" fillId="59" borderId="31" xfId="1507" applyNumberFormat="1" applyFont="1" applyFill="1" applyBorder="1" applyAlignment="1">
      <alignment horizontal="center" vertical="center" wrapText="1"/>
      <protection/>
    </xf>
    <xf numFmtId="2" fontId="152" fillId="59" borderId="96" xfId="1507" applyNumberFormat="1" applyFont="1" applyFill="1" applyBorder="1" applyAlignment="1">
      <alignment horizontal="center" vertical="center" wrapText="1"/>
      <protection/>
    </xf>
    <xf numFmtId="2" fontId="152" fillId="59" borderId="66" xfId="1507" applyNumberFormat="1" applyFont="1" applyFill="1" applyBorder="1" applyAlignment="1">
      <alignment horizontal="center" vertical="center" wrapText="1"/>
      <protection/>
    </xf>
    <xf numFmtId="2" fontId="174" fillId="59" borderId="64" xfId="1507" applyNumberFormat="1" applyFont="1" applyFill="1" applyBorder="1" applyAlignment="1">
      <alignment horizontal="center" vertical="center" wrapText="1"/>
      <protection/>
    </xf>
    <xf numFmtId="2" fontId="174" fillId="59" borderId="63" xfId="1507" applyNumberFormat="1" applyFont="1" applyFill="1" applyBorder="1" applyAlignment="1">
      <alignment horizontal="center" vertical="center" wrapText="1"/>
      <protection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73;&#1098;&#1105;&#1084;&#1099;%20&#1084;&#1077;&#1076;%20&#1087;&#1086;&#1084;&#1086;&#1097;&#1080;%202023%20&#1075;&#1086;&#1076;_&#1057;&#1042;&#1054;&#1044;_&#1088;&#1077;&#1076;.%2020.02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АМП"/>
      <sheetName val="1.1. ПРОФ.МЕРОПРИЯТИЯ"/>
      <sheetName val="1.2. Диспансерное наблюдение"/>
      <sheetName val="1.3. ИССЛЕДОВАНИЯ"/>
      <sheetName val="2. КС"/>
      <sheetName val="3. ДС"/>
      <sheetName val="4. СМП"/>
      <sheetName val="5. УСЛУГИ ДИАЛИЗА"/>
      <sheetName val="6. Объем фин.обеспечения "/>
      <sheetName val="10. объём доп. фед. средств"/>
    </sheetNames>
    <sheetDataSet>
      <sheetData sheetId="5">
        <row r="42">
          <cell r="C42">
            <v>66</v>
          </cell>
        </row>
        <row r="43">
          <cell r="C43">
            <v>170</v>
          </cell>
        </row>
        <row r="44">
          <cell r="C44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539"/>
  <sheetViews>
    <sheetView view="pageBreakPreview" zoomScale="90" zoomScaleSheetLayoutView="90" zoomScalePageLayoutView="0" workbookViewId="0" topLeftCell="A34">
      <selection activeCell="F37" sqref="F37"/>
    </sheetView>
  </sheetViews>
  <sheetFormatPr defaultColWidth="9.140625" defaultRowHeight="12.75"/>
  <cols>
    <col min="1" max="1" width="49.00390625" style="230" customWidth="1"/>
    <col min="2" max="2" width="12.57421875" style="230" customWidth="1"/>
    <col min="3" max="3" width="18.00390625" style="306" customWidth="1"/>
    <col min="4" max="4" width="14.00390625" style="306" customWidth="1"/>
    <col min="5" max="6" width="13.7109375" style="307" customWidth="1"/>
    <col min="7" max="7" width="12.28125" style="230" bestFit="1" customWidth="1"/>
    <col min="8" max="8" width="18.00390625" style="230" customWidth="1"/>
    <col min="9" max="9" width="15.8515625" style="230" customWidth="1"/>
    <col min="10" max="10" width="15.421875" style="230" customWidth="1"/>
    <col min="11" max="12" width="9.140625" style="230" customWidth="1"/>
    <col min="13" max="13" width="13.28125" style="230" customWidth="1"/>
    <col min="14" max="14" width="18.140625" style="230" customWidth="1"/>
    <col min="15" max="15" width="13.8515625" style="230" customWidth="1"/>
    <col min="16" max="16" width="16.8515625" style="230" customWidth="1"/>
    <col min="17" max="22" width="9.140625" style="230" customWidth="1"/>
    <col min="23" max="23" width="11.421875" style="230" customWidth="1"/>
    <col min="24" max="16384" width="9.140625" style="230" customWidth="1"/>
  </cols>
  <sheetData>
    <row r="1" spans="2:8" ht="21.75" customHeight="1">
      <c r="B1" s="541"/>
      <c r="C1" s="541"/>
      <c r="D1" s="654" t="s">
        <v>110</v>
      </c>
      <c r="E1" s="654"/>
      <c r="F1" s="654"/>
      <c r="H1" s="230">
        <v>1</v>
      </c>
    </row>
    <row r="2" spans="2:6" ht="21.75" customHeight="1">
      <c r="B2" s="541"/>
      <c r="C2" s="541"/>
      <c r="D2" s="654" t="s">
        <v>111</v>
      </c>
      <c r="E2" s="654"/>
      <c r="F2" s="654"/>
    </row>
    <row r="3" spans="2:6" ht="21.75" customHeight="1">
      <c r="B3" s="541"/>
      <c r="C3" s="541"/>
      <c r="D3" s="654" t="s">
        <v>496</v>
      </c>
      <c r="E3" s="654"/>
      <c r="F3" s="654"/>
    </row>
    <row r="4" spans="3:6" ht="21" customHeight="1">
      <c r="C4" s="640"/>
      <c r="D4" s="640"/>
      <c r="E4" s="640"/>
      <c r="F4" s="230"/>
    </row>
    <row r="5" spans="1:6" ht="42" customHeight="1">
      <c r="A5" s="655" t="s">
        <v>356</v>
      </c>
      <c r="B5" s="655"/>
      <c r="C5" s="655"/>
      <c r="D5" s="655"/>
      <c r="E5" s="655"/>
      <c r="F5" s="655"/>
    </row>
    <row r="6" spans="1:6" ht="23.25" customHeight="1">
      <c r="A6" s="406"/>
      <c r="B6" s="406"/>
      <c r="C6" s="406"/>
      <c r="D6" s="406"/>
      <c r="E6" s="452"/>
      <c r="F6" s="452" t="s">
        <v>297</v>
      </c>
    </row>
    <row r="7" spans="1:6" ht="16.5" customHeight="1">
      <c r="A7" s="656" t="s">
        <v>299</v>
      </c>
      <c r="B7" s="656"/>
      <c r="C7" s="656"/>
      <c r="D7" s="656"/>
      <c r="E7" s="656"/>
      <c r="F7" s="656"/>
    </row>
    <row r="8" spans="1:6" ht="12" customHeight="1" thickBot="1">
      <c r="A8" s="641"/>
      <c r="B8" s="641"/>
      <c r="C8" s="641"/>
      <c r="D8" s="641"/>
      <c r="E8" s="641"/>
      <c r="F8" s="230"/>
    </row>
    <row r="9" spans="1:6" ht="20.25" customHeight="1">
      <c r="A9" s="642" t="s">
        <v>4</v>
      </c>
      <c r="B9" s="650" t="s">
        <v>196</v>
      </c>
      <c r="C9" s="651"/>
      <c r="D9" s="651"/>
      <c r="E9" s="651"/>
      <c r="F9" s="652"/>
    </row>
    <row r="10" spans="1:6" ht="18" customHeight="1">
      <c r="A10" s="645"/>
      <c r="B10" s="607" t="s">
        <v>492</v>
      </c>
      <c r="C10" s="647" t="s">
        <v>208</v>
      </c>
      <c r="D10" s="648"/>
      <c r="E10" s="648"/>
      <c r="F10" s="649"/>
    </row>
    <row r="11" spans="1:6" ht="42.75" customHeight="1">
      <c r="A11" s="645"/>
      <c r="B11" s="653"/>
      <c r="C11" s="570" t="s">
        <v>197</v>
      </c>
      <c r="D11" s="570" t="s">
        <v>45</v>
      </c>
      <c r="E11" s="572" t="s">
        <v>46</v>
      </c>
      <c r="F11" s="571" t="s">
        <v>489</v>
      </c>
    </row>
    <row r="12" spans="1:6" ht="38.25" customHeight="1" thickBot="1">
      <c r="A12" s="646"/>
      <c r="B12" s="560" t="s">
        <v>490</v>
      </c>
      <c r="C12" s="560" t="s">
        <v>494</v>
      </c>
      <c r="D12" s="554" t="s">
        <v>490</v>
      </c>
      <c r="E12" s="555" t="s">
        <v>491</v>
      </c>
      <c r="F12" s="556" t="s">
        <v>495</v>
      </c>
    </row>
    <row r="13" spans="1:6" ht="21" customHeight="1">
      <c r="A13" s="625" t="s">
        <v>251</v>
      </c>
      <c r="B13" s="626"/>
      <c r="C13" s="626"/>
      <c r="D13" s="626"/>
      <c r="E13" s="626"/>
      <c r="F13" s="627"/>
    </row>
    <row r="14" spans="1:23" ht="16.5" customHeight="1">
      <c r="A14" s="553" t="s">
        <v>69</v>
      </c>
      <c r="B14" s="245">
        <f>ROUND(C14+D14+E14*2.9+F14*$H$1,0)</f>
        <v>22582</v>
      </c>
      <c r="C14" s="368">
        <v>3896</v>
      </c>
      <c r="D14" s="358">
        <v>869</v>
      </c>
      <c r="E14" s="358">
        <f>5912</f>
        <v>5912</v>
      </c>
      <c r="F14" s="540">
        <f>'1.2. Диспансерное наблюдение'!$E$9-'1.2. Диспансерное наблюдение'!F9</f>
        <v>672</v>
      </c>
      <c r="P14" s="231"/>
      <c r="Q14" s="231"/>
      <c r="R14" s="231"/>
      <c r="S14" s="231"/>
      <c r="T14" s="231"/>
      <c r="U14" s="231"/>
      <c r="V14" s="231"/>
      <c r="W14" s="231"/>
    </row>
    <row r="15" spans="1:23" ht="16.5" customHeight="1">
      <c r="A15" s="539" t="s">
        <v>47</v>
      </c>
      <c r="B15" s="245">
        <f aca="true" t="shared" si="0" ref="B15:B46">ROUND(C15+D15+E15*2.9+F15*$H$1,0)</f>
        <v>12489</v>
      </c>
      <c r="C15" s="357">
        <v>3096</v>
      </c>
      <c r="D15" s="358">
        <v>484</v>
      </c>
      <c r="E15" s="358">
        <v>3072</v>
      </c>
      <c r="F15" s="567">
        <v>0</v>
      </c>
      <c r="I15" s="352"/>
      <c r="P15" s="231"/>
      <c r="Q15" s="231"/>
      <c r="R15" s="231"/>
      <c r="S15" s="231"/>
      <c r="T15" s="231"/>
      <c r="U15" s="231"/>
      <c r="V15" s="231"/>
      <c r="W15" s="231"/>
    </row>
    <row r="16" spans="1:23" ht="16.5" customHeight="1">
      <c r="A16" s="235" t="s">
        <v>9</v>
      </c>
      <c r="B16" s="245">
        <f t="shared" si="0"/>
        <v>3143</v>
      </c>
      <c r="C16" s="357">
        <f>490+550</f>
        <v>1040</v>
      </c>
      <c r="D16" s="463">
        <v>0</v>
      </c>
      <c r="E16" s="463">
        <f>512+213</f>
        <v>725</v>
      </c>
      <c r="F16" s="567">
        <v>0</v>
      </c>
      <c r="I16" s="352"/>
      <c r="P16" s="231"/>
      <c r="Q16" s="231"/>
      <c r="R16" s="231"/>
      <c r="S16" s="231"/>
      <c r="T16" s="231"/>
      <c r="U16" s="231"/>
      <c r="V16" s="231"/>
      <c r="W16" s="231"/>
    </row>
    <row r="17" spans="1:23" ht="16.5" customHeight="1">
      <c r="A17" s="235" t="s">
        <v>11</v>
      </c>
      <c r="B17" s="232">
        <f t="shared" si="0"/>
        <v>989</v>
      </c>
      <c r="C17" s="357">
        <v>600</v>
      </c>
      <c r="D17" s="463">
        <v>0</v>
      </c>
      <c r="E17" s="463">
        <v>134</v>
      </c>
      <c r="F17" s="567">
        <v>0</v>
      </c>
      <c r="I17" s="352"/>
      <c r="P17" s="231"/>
      <c r="Q17" s="231"/>
      <c r="R17" s="231"/>
      <c r="S17" s="231"/>
      <c r="T17" s="231"/>
      <c r="U17" s="231"/>
      <c r="V17" s="231"/>
      <c r="W17" s="231"/>
    </row>
    <row r="18" spans="1:23" ht="16.5" customHeight="1">
      <c r="A18" s="235" t="s">
        <v>13</v>
      </c>
      <c r="B18" s="232">
        <f t="shared" si="0"/>
        <v>12747</v>
      </c>
      <c r="C18" s="357">
        <f>2228+838</f>
        <v>3066</v>
      </c>
      <c r="D18" s="463">
        <f>369+132</f>
        <v>501</v>
      </c>
      <c r="E18" s="463">
        <f>2339+715</f>
        <v>3054</v>
      </c>
      <c r="F18" s="540">
        <f>'1.2. Диспансерное наблюдение'!$E$10-'1.2. Диспансерное наблюдение'!$G$10</f>
        <v>323</v>
      </c>
      <c r="I18" s="352"/>
      <c r="P18" s="231"/>
      <c r="Q18" s="231"/>
      <c r="R18" s="231"/>
      <c r="S18" s="231"/>
      <c r="T18" s="231"/>
      <c r="U18" s="231"/>
      <c r="V18" s="231"/>
      <c r="W18" s="231"/>
    </row>
    <row r="19" spans="1:23" ht="16.5" customHeight="1">
      <c r="A19" s="235" t="s">
        <v>493</v>
      </c>
      <c r="B19" s="245">
        <f t="shared" si="0"/>
        <v>4970</v>
      </c>
      <c r="C19" s="357">
        <f>615+696</f>
        <v>1311</v>
      </c>
      <c r="D19" s="463">
        <f>81+113</f>
        <v>194</v>
      </c>
      <c r="E19" s="463">
        <f>507+600</f>
        <v>1107</v>
      </c>
      <c r="F19" s="498">
        <f>'1.2. Диспансерное наблюдение'!$E$11</f>
        <v>255</v>
      </c>
      <c r="I19" s="352"/>
      <c r="P19" s="231"/>
      <c r="Q19" s="231"/>
      <c r="R19" s="231"/>
      <c r="S19" s="231"/>
      <c r="T19" s="231"/>
      <c r="U19" s="231"/>
      <c r="V19" s="231"/>
      <c r="W19" s="231"/>
    </row>
    <row r="20" spans="1:23" ht="16.5" customHeight="1">
      <c r="A20" s="235" t="s">
        <v>65</v>
      </c>
      <c r="B20" s="245">
        <f t="shared" si="0"/>
        <v>4915</v>
      </c>
      <c r="C20" s="357">
        <f>725+320</f>
        <v>1045</v>
      </c>
      <c r="D20" s="358">
        <f>34+66</f>
        <v>100</v>
      </c>
      <c r="E20" s="358">
        <f>853+413</f>
        <v>1266</v>
      </c>
      <c r="F20" s="540">
        <f>'1.2. Диспансерное наблюдение'!$E$12</f>
        <v>99</v>
      </c>
      <c r="I20" s="352"/>
      <c r="P20" s="231"/>
      <c r="Q20" s="231"/>
      <c r="R20" s="231"/>
      <c r="S20" s="231"/>
      <c r="T20" s="231"/>
      <c r="U20" s="231"/>
      <c r="V20" s="231"/>
      <c r="W20" s="231"/>
    </row>
    <row r="21" spans="1:6" ht="15">
      <c r="A21" s="235" t="s">
        <v>3</v>
      </c>
      <c r="B21" s="232">
        <f t="shared" si="0"/>
        <v>17617</v>
      </c>
      <c r="C21" s="357">
        <f>2766+824</f>
        <v>3590</v>
      </c>
      <c r="D21" s="463">
        <f>554+136</f>
        <v>690</v>
      </c>
      <c r="E21" s="463">
        <f>3515+687</f>
        <v>4202</v>
      </c>
      <c r="F21" s="498">
        <f>'1.2. Диспансерное наблюдение'!$E$13</f>
        <v>1151</v>
      </c>
    </row>
    <row r="22" spans="1:6" ht="15">
      <c r="A22" s="236" t="s">
        <v>12</v>
      </c>
      <c r="B22" s="232">
        <f t="shared" si="0"/>
        <v>2442</v>
      </c>
      <c r="C22" s="357">
        <f>303+380</f>
        <v>683</v>
      </c>
      <c r="D22" s="463">
        <v>4</v>
      </c>
      <c r="E22" s="463">
        <f>316+289</f>
        <v>605</v>
      </c>
      <c r="F22" s="567">
        <v>0</v>
      </c>
    </row>
    <row r="23" spans="1:23" ht="16.5" customHeight="1">
      <c r="A23" s="235" t="s">
        <v>8</v>
      </c>
      <c r="B23" s="245">
        <f t="shared" si="0"/>
        <v>462</v>
      </c>
      <c r="C23" s="357">
        <v>215</v>
      </c>
      <c r="D23" s="358">
        <v>0</v>
      </c>
      <c r="E23" s="358">
        <v>85</v>
      </c>
      <c r="F23" s="567">
        <v>0</v>
      </c>
      <c r="I23" s="352"/>
      <c r="P23" s="231"/>
      <c r="Q23" s="231"/>
      <c r="R23" s="231"/>
      <c r="S23" s="231"/>
      <c r="T23" s="231"/>
      <c r="U23" s="231"/>
      <c r="V23" s="231"/>
      <c r="W23" s="231"/>
    </row>
    <row r="24" spans="1:23" ht="15.75" customHeight="1">
      <c r="A24" s="236" t="s">
        <v>6</v>
      </c>
      <c r="B24" s="232">
        <f t="shared" si="0"/>
        <v>4558</v>
      </c>
      <c r="C24" s="357">
        <f>300+339</f>
        <v>639</v>
      </c>
      <c r="D24" s="463">
        <f>135+52</f>
        <v>187</v>
      </c>
      <c r="E24" s="463">
        <f>807+232</f>
        <v>1039</v>
      </c>
      <c r="F24" s="540">
        <f>'1.2. Диспансерное наблюдение'!$E$14-'1.2. Диспансерное наблюдение'!$F$14</f>
        <v>719</v>
      </c>
      <c r="H24" s="238"/>
      <c r="I24" s="352"/>
      <c r="P24" s="231"/>
      <c r="Q24" s="231"/>
      <c r="R24" s="231"/>
      <c r="S24" s="231"/>
      <c r="T24" s="231"/>
      <c r="U24" s="231"/>
      <c r="V24" s="231"/>
      <c r="W24" s="231"/>
    </row>
    <row r="25" spans="1:23" ht="15.75" customHeight="1">
      <c r="A25" s="235" t="s">
        <v>77</v>
      </c>
      <c r="B25" s="232">
        <f t="shared" si="0"/>
        <v>11113</v>
      </c>
      <c r="C25" s="357">
        <f>2018+800</f>
        <v>2818</v>
      </c>
      <c r="D25" s="463">
        <f>310+165</f>
        <v>475</v>
      </c>
      <c r="E25" s="463">
        <f>1814+804</f>
        <v>2618</v>
      </c>
      <c r="F25" s="540">
        <f>'1.2. Диспансерное наблюдение'!$E$15</f>
        <v>228</v>
      </c>
      <c r="H25" s="239"/>
      <c r="I25" s="352"/>
      <c r="P25" s="231"/>
      <c r="Q25" s="231"/>
      <c r="R25" s="231"/>
      <c r="S25" s="231"/>
      <c r="T25" s="231"/>
      <c r="U25" s="231"/>
      <c r="V25" s="231"/>
      <c r="W25" s="231"/>
    </row>
    <row r="26" spans="1:23" ht="15.75" customHeight="1">
      <c r="A26" s="235" t="s">
        <v>2</v>
      </c>
      <c r="B26" s="232">
        <f t="shared" si="0"/>
        <v>14286</v>
      </c>
      <c r="C26" s="357">
        <f>2093+796</f>
        <v>2889</v>
      </c>
      <c r="D26" s="463">
        <f>401+164</f>
        <v>565</v>
      </c>
      <c r="E26" s="463">
        <f>2600+1018</f>
        <v>3618</v>
      </c>
      <c r="F26" s="540">
        <f>'1.2. Диспансерное наблюдение'!$E$16</f>
        <v>340</v>
      </c>
      <c r="H26" s="239"/>
      <c r="I26" s="352"/>
      <c r="P26" s="231"/>
      <c r="Q26" s="231"/>
      <c r="R26" s="231"/>
      <c r="S26" s="231"/>
      <c r="T26" s="231"/>
      <c r="U26" s="231"/>
      <c r="V26" s="231"/>
      <c r="W26" s="231"/>
    </row>
    <row r="27" spans="1:23" ht="16.5" customHeight="1">
      <c r="A27" s="249" t="s">
        <v>376</v>
      </c>
      <c r="B27" s="232">
        <f t="shared" si="0"/>
        <v>62594</v>
      </c>
      <c r="C27" s="357">
        <v>10388</v>
      </c>
      <c r="D27" s="463">
        <v>3025</v>
      </c>
      <c r="E27" s="463">
        <v>16959</v>
      </c>
      <c r="F27" s="567">
        <v>0</v>
      </c>
      <c r="H27" s="231"/>
      <c r="I27" s="352"/>
      <c r="P27" s="231"/>
      <c r="Q27" s="231"/>
      <c r="R27" s="231"/>
      <c r="S27" s="231"/>
      <c r="T27" s="231"/>
      <c r="U27" s="231"/>
      <c r="V27" s="231"/>
      <c r="W27" s="231"/>
    </row>
    <row r="28" spans="1:23" ht="30">
      <c r="A28" s="276" t="s">
        <v>403</v>
      </c>
      <c r="B28" s="273">
        <f t="shared" si="0"/>
        <v>7834</v>
      </c>
      <c r="C28" s="561">
        <f>SUM(C29:C31)</f>
        <v>7834</v>
      </c>
      <c r="D28" s="562">
        <v>0</v>
      </c>
      <c r="E28" s="562">
        <v>0</v>
      </c>
      <c r="F28" s="567">
        <v>0</v>
      </c>
      <c r="I28" s="352"/>
      <c r="P28" s="231"/>
      <c r="Q28" s="231"/>
      <c r="R28" s="231"/>
      <c r="S28" s="231"/>
      <c r="T28" s="231"/>
      <c r="U28" s="231"/>
      <c r="V28" s="231"/>
      <c r="W28" s="231"/>
    </row>
    <row r="29" spans="1:23" ht="30">
      <c r="A29" s="276" t="s">
        <v>146</v>
      </c>
      <c r="B29" s="273">
        <f t="shared" si="0"/>
        <v>116</v>
      </c>
      <c r="C29" s="561">
        <f>'1.1. ПРОФ.МЕРОПРИЯТИЯ'!C12</f>
        <v>116</v>
      </c>
      <c r="D29" s="562">
        <v>0</v>
      </c>
      <c r="E29" s="562">
        <v>0</v>
      </c>
      <c r="F29" s="567">
        <v>0</v>
      </c>
      <c r="I29" s="352"/>
      <c r="P29" s="231"/>
      <c r="Q29" s="231"/>
      <c r="R29" s="231"/>
      <c r="S29" s="231"/>
      <c r="T29" s="231"/>
      <c r="U29" s="231"/>
      <c r="V29" s="231"/>
      <c r="W29" s="231"/>
    </row>
    <row r="30" spans="1:23" ht="29.25" customHeight="1">
      <c r="A30" s="265" t="s">
        <v>147</v>
      </c>
      <c r="B30" s="266">
        <f t="shared" si="0"/>
        <v>184</v>
      </c>
      <c r="C30" s="561">
        <f>'1.1. ПРОФ.МЕРОПРИЯТИЯ'!D12</f>
        <v>184</v>
      </c>
      <c r="D30" s="562">
        <v>0</v>
      </c>
      <c r="E30" s="562">
        <v>0</v>
      </c>
      <c r="F30" s="567">
        <v>0</v>
      </c>
      <c r="I30" s="352"/>
      <c r="P30" s="231"/>
      <c r="Q30" s="231"/>
      <c r="R30" s="231"/>
      <c r="S30" s="231"/>
      <c r="T30" s="231"/>
      <c r="U30" s="231"/>
      <c r="V30" s="231"/>
      <c r="W30" s="231"/>
    </row>
    <row r="31" spans="1:23" ht="24" customHeight="1">
      <c r="A31" s="265" t="s">
        <v>148</v>
      </c>
      <c r="B31" s="266">
        <f t="shared" si="0"/>
        <v>7534</v>
      </c>
      <c r="C31" s="561">
        <f>'1.1. ПРОФ.МЕРОПРИЯТИЯ'!H12</f>
        <v>7534</v>
      </c>
      <c r="D31" s="562">
        <v>0</v>
      </c>
      <c r="E31" s="562">
        <v>0</v>
      </c>
      <c r="F31" s="567">
        <v>0</v>
      </c>
      <c r="I31" s="352"/>
      <c r="P31" s="231"/>
      <c r="Q31" s="231"/>
      <c r="R31" s="231"/>
      <c r="S31" s="231"/>
      <c r="T31" s="231"/>
      <c r="U31" s="231"/>
      <c r="V31" s="231"/>
      <c r="W31" s="231"/>
    </row>
    <row r="32" spans="1:23" ht="28.5" customHeight="1">
      <c r="A32" s="236" t="s">
        <v>10</v>
      </c>
      <c r="B32" s="245">
        <f t="shared" si="0"/>
        <v>1918</v>
      </c>
      <c r="C32" s="357">
        <f>245+365</f>
        <v>610</v>
      </c>
      <c r="D32" s="463">
        <v>0</v>
      </c>
      <c r="E32" s="463">
        <f>256+195</f>
        <v>451</v>
      </c>
      <c r="F32" s="567">
        <v>0</v>
      </c>
      <c r="I32" s="352"/>
      <c r="P32" s="231"/>
      <c r="Q32" s="231"/>
      <c r="R32" s="231"/>
      <c r="S32" s="231"/>
      <c r="T32" s="231"/>
      <c r="U32" s="231"/>
      <c r="V32" s="231"/>
      <c r="W32" s="231"/>
    </row>
    <row r="33" spans="1:23" ht="17.25" customHeight="1">
      <c r="A33" s="236" t="s">
        <v>40</v>
      </c>
      <c r="B33" s="245">
        <f t="shared" si="0"/>
        <v>1120</v>
      </c>
      <c r="C33" s="357">
        <v>528</v>
      </c>
      <c r="D33" s="463">
        <v>0</v>
      </c>
      <c r="E33" s="358">
        <v>204</v>
      </c>
      <c r="F33" s="567">
        <v>0</v>
      </c>
      <c r="I33" s="352"/>
      <c r="P33" s="231"/>
      <c r="Q33" s="231"/>
      <c r="R33" s="231"/>
      <c r="S33" s="231"/>
      <c r="T33" s="231"/>
      <c r="U33" s="231"/>
      <c r="V33" s="231"/>
      <c r="W33" s="231"/>
    </row>
    <row r="34" spans="1:23" ht="17.25" customHeight="1">
      <c r="A34" s="236" t="s">
        <v>500</v>
      </c>
      <c r="B34" s="232">
        <f t="shared" si="0"/>
        <v>1966</v>
      </c>
      <c r="C34" s="357">
        <f>245+300</f>
        <v>545</v>
      </c>
      <c r="D34" s="463">
        <v>0</v>
      </c>
      <c r="E34" s="463">
        <f>256+234</f>
        <v>490</v>
      </c>
      <c r="F34" s="567">
        <v>0</v>
      </c>
      <c r="I34" s="352"/>
      <c r="P34" s="231"/>
      <c r="Q34" s="231"/>
      <c r="R34" s="231"/>
      <c r="S34" s="231"/>
      <c r="T34" s="231"/>
      <c r="U34" s="231"/>
      <c r="V34" s="231"/>
      <c r="W34" s="231"/>
    </row>
    <row r="35" spans="1:23" ht="17.25" customHeight="1">
      <c r="A35" s="235" t="s">
        <v>35</v>
      </c>
      <c r="B35" s="232">
        <f t="shared" si="0"/>
        <v>43143</v>
      </c>
      <c r="C35" s="357">
        <v>9898</v>
      </c>
      <c r="D35" s="463">
        <v>1760</v>
      </c>
      <c r="E35" s="463">
        <v>10857</v>
      </c>
      <c r="F35" s="567">
        <v>0</v>
      </c>
      <c r="I35" s="352"/>
      <c r="P35" s="231"/>
      <c r="Q35" s="231"/>
      <c r="R35" s="231"/>
      <c r="S35" s="231"/>
      <c r="T35" s="231"/>
      <c r="U35" s="231"/>
      <c r="V35" s="231"/>
      <c r="W35" s="231"/>
    </row>
    <row r="36" spans="1:23" ht="17.25" customHeight="1">
      <c r="A36" s="235" t="s">
        <v>223</v>
      </c>
      <c r="B36" s="232">
        <f t="shared" si="0"/>
        <v>3987</v>
      </c>
      <c r="C36" s="357">
        <v>2150</v>
      </c>
      <c r="D36" s="463">
        <v>506</v>
      </c>
      <c r="E36" s="463">
        <v>459</v>
      </c>
      <c r="F36" s="567">
        <v>0</v>
      </c>
      <c r="I36" s="352"/>
      <c r="P36" s="231"/>
      <c r="Q36" s="231"/>
      <c r="R36" s="231"/>
      <c r="S36" s="231"/>
      <c r="T36" s="231"/>
      <c r="U36" s="231"/>
      <c r="V36" s="231"/>
      <c r="W36" s="231"/>
    </row>
    <row r="37" spans="1:23" ht="17.25" customHeight="1">
      <c r="A37" s="236" t="s">
        <v>377</v>
      </c>
      <c r="B37" s="232">
        <f t="shared" si="0"/>
        <v>76052</v>
      </c>
      <c r="C37" s="357">
        <v>17838</v>
      </c>
      <c r="D37" s="463">
        <v>2935</v>
      </c>
      <c r="E37" s="463">
        <v>16877</v>
      </c>
      <c r="F37" s="540">
        <f>'1.2. Диспансерное наблюдение'!$E$17</f>
        <v>6336</v>
      </c>
      <c r="I37" s="352"/>
      <c r="P37" s="231"/>
      <c r="Q37" s="231"/>
      <c r="R37" s="231"/>
      <c r="S37" s="231"/>
      <c r="T37" s="231"/>
      <c r="U37" s="231"/>
      <c r="V37" s="231"/>
      <c r="W37" s="231"/>
    </row>
    <row r="38" spans="1:23" ht="31.5" customHeight="1">
      <c r="A38" s="265" t="s">
        <v>403</v>
      </c>
      <c r="B38" s="273">
        <f t="shared" si="0"/>
        <v>16820</v>
      </c>
      <c r="C38" s="362">
        <f>C39+C41</f>
        <v>16820</v>
      </c>
      <c r="D38" s="562">
        <v>0</v>
      </c>
      <c r="E38" s="562">
        <v>0</v>
      </c>
      <c r="F38" s="567">
        <v>0</v>
      </c>
      <c r="I38" s="352"/>
      <c r="P38" s="231"/>
      <c r="Q38" s="231"/>
      <c r="R38" s="231"/>
      <c r="S38" s="231"/>
      <c r="T38" s="231"/>
      <c r="U38" s="231"/>
      <c r="V38" s="231"/>
      <c r="W38" s="231"/>
    </row>
    <row r="39" spans="1:23" ht="34.5" customHeight="1">
      <c r="A39" s="265" t="s">
        <v>379</v>
      </c>
      <c r="B39" s="273">
        <f t="shared" si="0"/>
        <v>13788</v>
      </c>
      <c r="C39" s="362">
        <f>'1.1. ПРОФ.МЕРОПРИЯТИЯ'!E12</f>
        <v>13788</v>
      </c>
      <c r="D39" s="562">
        <v>0</v>
      </c>
      <c r="E39" s="562">
        <v>0</v>
      </c>
      <c r="F39" s="567">
        <v>0</v>
      </c>
      <c r="I39" s="352"/>
      <c r="P39" s="231"/>
      <c r="Q39" s="231"/>
      <c r="R39" s="231"/>
      <c r="S39" s="231"/>
      <c r="T39" s="231"/>
      <c r="U39" s="231"/>
      <c r="V39" s="231"/>
      <c r="W39" s="231"/>
    </row>
    <row r="40" spans="1:23" ht="17.25" customHeight="1">
      <c r="A40" s="265" t="s">
        <v>378</v>
      </c>
      <c r="B40" s="273">
        <f t="shared" si="0"/>
        <v>946</v>
      </c>
      <c r="C40" s="362">
        <f>'1.1. ПРОФ.МЕРОПРИЯТИЯ'!F12</f>
        <v>946</v>
      </c>
      <c r="D40" s="562">
        <v>0</v>
      </c>
      <c r="E40" s="562">
        <v>0</v>
      </c>
      <c r="F40" s="567">
        <v>0</v>
      </c>
      <c r="I40" s="352"/>
      <c r="P40" s="231"/>
      <c r="Q40" s="231"/>
      <c r="R40" s="231"/>
      <c r="S40" s="231"/>
      <c r="T40" s="231"/>
      <c r="U40" s="231"/>
      <c r="V40" s="231"/>
      <c r="W40" s="231"/>
    </row>
    <row r="41" spans="1:23" ht="31.5" customHeight="1">
      <c r="A41" s="265" t="s">
        <v>204</v>
      </c>
      <c r="B41" s="273">
        <f t="shared" si="0"/>
        <v>3032</v>
      </c>
      <c r="C41" s="362">
        <f>'1.1. ПРОФ.МЕРОПРИЯТИЯ'!I12</f>
        <v>3032</v>
      </c>
      <c r="D41" s="562">
        <v>0</v>
      </c>
      <c r="E41" s="562">
        <v>0</v>
      </c>
      <c r="F41" s="567">
        <v>0</v>
      </c>
      <c r="I41" s="352"/>
      <c r="P41" s="231"/>
      <c r="Q41" s="231"/>
      <c r="R41" s="231"/>
      <c r="S41" s="231"/>
      <c r="T41" s="231"/>
      <c r="U41" s="231"/>
      <c r="V41" s="231"/>
      <c r="W41" s="231"/>
    </row>
    <row r="42" spans="1:23" ht="18.75" customHeight="1">
      <c r="A42" s="236" t="s">
        <v>67</v>
      </c>
      <c r="B42" s="232">
        <f t="shared" si="0"/>
        <v>4812</v>
      </c>
      <c r="C42" s="357">
        <f>669+490</f>
        <v>1159</v>
      </c>
      <c r="D42" s="463">
        <f>123+81</f>
        <v>204</v>
      </c>
      <c r="E42" s="463">
        <f>707+477</f>
        <v>1184</v>
      </c>
      <c r="F42" s="498">
        <f>'1.2. Диспансерное наблюдение'!$E$18</f>
        <v>15</v>
      </c>
      <c r="I42" s="352"/>
      <c r="P42" s="231"/>
      <c r="Q42" s="231"/>
      <c r="R42" s="231"/>
      <c r="S42" s="231"/>
      <c r="T42" s="231"/>
      <c r="U42" s="231"/>
      <c r="V42" s="231"/>
      <c r="W42" s="231"/>
    </row>
    <row r="43" spans="1:23" ht="17.25" customHeight="1">
      <c r="A43" s="236" t="s">
        <v>1</v>
      </c>
      <c r="B43" s="245">
        <f t="shared" si="0"/>
        <v>3028</v>
      </c>
      <c r="C43" s="357">
        <f>361+459</f>
        <v>820</v>
      </c>
      <c r="D43" s="463">
        <v>0</v>
      </c>
      <c r="E43" s="463">
        <f>378+361</f>
        <v>739</v>
      </c>
      <c r="F43" s="540">
        <f>'1.2. Диспансерное наблюдение'!E19</f>
        <v>65</v>
      </c>
      <c r="I43" s="352"/>
      <c r="P43" s="231"/>
      <c r="Q43" s="231"/>
      <c r="R43" s="231"/>
      <c r="S43" s="231"/>
      <c r="T43" s="231"/>
      <c r="U43" s="231"/>
      <c r="V43" s="231"/>
      <c r="W43" s="231"/>
    </row>
    <row r="44" spans="1:23" ht="17.25" customHeight="1">
      <c r="A44" s="235" t="s">
        <v>36</v>
      </c>
      <c r="B44" s="232">
        <f t="shared" si="0"/>
        <v>17636</v>
      </c>
      <c r="C44" s="357">
        <v>5009</v>
      </c>
      <c r="D44" s="463">
        <v>1021</v>
      </c>
      <c r="E44" s="463">
        <v>4002</v>
      </c>
      <c r="F44" s="567">
        <v>0</v>
      </c>
      <c r="I44" s="352"/>
      <c r="P44" s="231"/>
      <c r="Q44" s="231"/>
      <c r="R44" s="231"/>
      <c r="S44" s="231"/>
      <c r="T44" s="231"/>
      <c r="U44" s="231"/>
      <c r="V44" s="231"/>
      <c r="W44" s="231"/>
    </row>
    <row r="45" spans="1:23" ht="17.25" customHeight="1">
      <c r="A45" s="235" t="s">
        <v>33</v>
      </c>
      <c r="B45" s="232">
        <f t="shared" si="0"/>
        <v>24312</v>
      </c>
      <c r="C45" s="357">
        <v>3281</v>
      </c>
      <c r="D45" s="463">
        <v>1050</v>
      </c>
      <c r="E45" s="463">
        <v>6704</v>
      </c>
      <c r="F45" s="498">
        <f>'1.2. Диспансерное наблюдение'!$E$20</f>
        <v>539</v>
      </c>
      <c r="I45" s="352"/>
      <c r="P45" s="231"/>
      <c r="Q45" s="231"/>
      <c r="R45" s="231"/>
      <c r="S45" s="231"/>
      <c r="T45" s="231"/>
      <c r="U45" s="231"/>
      <c r="V45" s="231"/>
      <c r="W45" s="231"/>
    </row>
    <row r="46" spans="1:23" ht="17.25" customHeight="1" thickBot="1">
      <c r="A46" s="235" t="s">
        <v>5</v>
      </c>
      <c r="B46" s="232">
        <f t="shared" si="0"/>
        <v>5608</v>
      </c>
      <c r="C46" s="357">
        <f>799+592</f>
        <v>1391</v>
      </c>
      <c r="D46" s="463">
        <f>4+336</f>
        <v>340</v>
      </c>
      <c r="E46" s="463">
        <f>801+491</f>
        <v>1292</v>
      </c>
      <c r="F46" s="498">
        <f>'1.2. Диспансерное наблюдение'!$E$21</f>
        <v>130</v>
      </c>
      <c r="I46" s="352"/>
      <c r="P46" s="231"/>
      <c r="Q46" s="231"/>
      <c r="R46" s="231"/>
      <c r="S46" s="231"/>
      <c r="T46" s="231"/>
      <c r="U46" s="231"/>
      <c r="V46" s="231"/>
      <c r="W46" s="231"/>
    </row>
    <row r="47" spans="1:23" ht="23.25" customHeight="1" thickBot="1">
      <c r="A47" s="396" t="s">
        <v>225</v>
      </c>
      <c r="B47" s="242">
        <f>SUM(B14:B27,B32:B37,B42:B46)</f>
        <v>358489</v>
      </c>
      <c r="C47" s="242">
        <f>SUM(C14:C27,C32:C37,C42:C46)</f>
        <v>78505</v>
      </c>
      <c r="D47" s="242">
        <f>SUM(D14:D27,D32:D37,D42:D46)</f>
        <v>14910</v>
      </c>
      <c r="E47" s="242">
        <f>SUM(E14:E27,E32:E37,E42:E46)</f>
        <v>87655</v>
      </c>
      <c r="F47" s="242">
        <f>SUM(F14:F27,F32:F37,F42:F46)</f>
        <v>10872</v>
      </c>
      <c r="H47" s="237"/>
      <c r="I47" s="352"/>
      <c r="P47" s="231"/>
      <c r="Q47" s="231"/>
      <c r="R47" s="231"/>
      <c r="S47" s="231"/>
      <c r="T47" s="231"/>
      <c r="U47" s="231"/>
      <c r="V47" s="231"/>
      <c r="W47" s="231"/>
    </row>
    <row r="48" spans="1:23" ht="16.5" customHeight="1" thickBot="1">
      <c r="A48" s="657" t="s">
        <v>57</v>
      </c>
      <c r="B48" s="658"/>
      <c r="C48" s="658"/>
      <c r="D48" s="658"/>
      <c r="E48" s="658"/>
      <c r="F48" s="568"/>
      <c r="H48" s="237"/>
      <c r="I48" s="352"/>
      <c r="P48" s="231"/>
      <c r="Q48" s="231"/>
      <c r="R48" s="231"/>
      <c r="S48" s="231"/>
      <c r="T48" s="231"/>
      <c r="U48" s="231"/>
      <c r="V48" s="231"/>
      <c r="W48" s="231"/>
    </row>
    <row r="49" spans="1:23" ht="23.25" customHeight="1" thickBot="1">
      <c r="A49" s="563" t="s">
        <v>288</v>
      </c>
      <c r="B49" s="280">
        <f>ROUND(C49+D49+E49*2.9+F49*$H$1,0)</f>
        <v>20480</v>
      </c>
      <c r="C49" s="564">
        <f>6030-580</f>
        <v>5450</v>
      </c>
      <c r="D49" s="564">
        <v>0</v>
      </c>
      <c r="E49" s="565">
        <v>4954</v>
      </c>
      <c r="F49" s="566">
        <f>'1.2. Диспансерное наблюдение'!$G$10</f>
        <v>663</v>
      </c>
      <c r="H49" s="237"/>
      <c r="I49" s="352"/>
      <c r="P49" s="231"/>
      <c r="Q49" s="231"/>
      <c r="R49" s="231"/>
      <c r="S49" s="231"/>
      <c r="T49" s="231"/>
      <c r="U49" s="231"/>
      <c r="V49" s="231"/>
      <c r="W49" s="231"/>
    </row>
    <row r="50" spans="1:23" ht="18.75" customHeight="1">
      <c r="A50" s="631" t="s">
        <v>224</v>
      </c>
      <c r="B50" s="632"/>
      <c r="C50" s="632"/>
      <c r="D50" s="632"/>
      <c r="E50" s="632"/>
      <c r="F50" s="569"/>
      <c r="I50" s="352"/>
      <c r="P50" s="231"/>
      <c r="Q50" s="231"/>
      <c r="R50" s="231"/>
      <c r="S50" s="231"/>
      <c r="T50" s="231"/>
      <c r="U50" s="231"/>
      <c r="V50" s="231"/>
      <c r="W50" s="231"/>
    </row>
    <row r="51" spans="1:23" ht="18.75" customHeight="1">
      <c r="A51" s="252" t="s">
        <v>38</v>
      </c>
      <c r="B51" s="232">
        <f>ROUND(C51+D51+E51*2.9+F51*$H$1,0)</f>
        <v>3365</v>
      </c>
      <c r="C51" s="356">
        <v>713</v>
      </c>
      <c r="D51" s="356">
        <v>0</v>
      </c>
      <c r="E51" s="463">
        <v>879</v>
      </c>
      <c r="F51" s="498">
        <f>'1.2. Диспансерное наблюдение'!F9</f>
        <v>103</v>
      </c>
      <c r="I51" s="352"/>
      <c r="P51" s="231"/>
      <c r="Q51" s="231"/>
      <c r="R51" s="231"/>
      <c r="S51" s="231"/>
      <c r="T51" s="231"/>
      <c r="U51" s="231"/>
      <c r="V51" s="231"/>
      <c r="W51" s="231"/>
    </row>
    <row r="52" spans="1:23" ht="17.25" customHeight="1">
      <c r="A52" s="243" t="s">
        <v>6</v>
      </c>
      <c r="B52" s="232">
        <f>ROUND(C52+D52+E52*2.9+F52*$H$1,0)</f>
        <v>20377</v>
      </c>
      <c r="C52" s="356">
        <v>3122</v>
      </c>
      <c r="D52" s="356">
        <v>0</v>
      </c>
      <c r="E52" s="463">
        <v>5069</v>
      </c>
      <c r="F52" s="540">
        <f>'1.2. Диспансерное наблюдение'!$F$14</f>
        <v>2555</v>
      </c>
      <c r="I52" s="352"/>
      <c r="P52" s="231"/>
      <c r="Q52" s="231"/>
      <c r="R52" s="231"/>
      <c r="S52" s="231"/>
      <c r="T52" s="231"/>
      <c r="U52" s="231"/>
      <c r="V52" s="231"/>
      <c r="W52" s="231"/>
    </row>
    <row r="53" spans="1:23" ht="20.25" customHeight="1" thickBot="1">
      <c r="A53" s="277" t="s">
        <v>0</v>
      </c>
      <c r="B53" s="279">
        <f>ROUND(C53+D53+E53*2.9+F53*$H$1,0)</f>
        <v>930</v>
      </c>
      <c r="C53" s="359">
        <v>231</v>
      </c>
      <c r="D53" s="360">
        <v>0</v>
      </c>
      <c r="E53" s="360">
        <v>241</v>
      </c>
      <c r="F53" s="361">
        <v>0</v>
      </c>
      <c r="I53" s="352"/>
      <c r="P53" s="231"/>
      <c r="Q53" s="231"/>
      <c r="R53" s="231"/>
      <c r="S53" s="231"/>
      <c r="T53" s="231"/>
      <c r="U53" s="231"/>
      <c r="V53" s="231"/>
      <c r="W53" s="231"/>
    </row>
    <row r="54" spans="1:23" ht="15.75" thickBot="1">
      <c r="A54" s="240" t="s">
        <v>203</v>
      </c>
      <c r="B54" s="367">
        <f>B53+B51+B52</f>
        <v>24672</v>
      </c>
      <c r="C54" s="367">
        <f>C53+C51+C52</f>
        <v>4066</v>
      </c>
      <c r="D54" s="367">
        <f>D53+D51+D52</f>
        <v>0</v>
      </c>
      <c r="E54" s="393">
        <f>E53+E51+E52</f>
        <v>6189</v>
      </c>
      <c r="F54" s="394">
        <f>F53+F51+F52</f>
        <v>2658</v>
      </c>
      <c r="G54" s="231"/>
      <c r="H54" s="231"/>
      <c r="I54" s="231"/>
      <c r="P54" s="231"/>
      <c r="Q54" s="231"/>
      <c r="R54" s="231"/>
      <c r="S54" s="231"/>
      <c r="T54" s="231"/>
      <c r="U54" s="231"/>
      <c r="V54" s="231"/>
      <c r="W54" s="231"/>
    </row>
    <row r="55" spans="1:24" ht="15.75" thickBot="1">
      <c r="A55" s="240" t="s">
        <v>499</v>
      </c>
      <c r="B55" s="367">
        <f>B54+B47+B49</f>
        <v>403641</v>
      </c>
      <c r="C55" s="367">
        <f>C54+C47+C49</f>
        <v>88021</v>
      </c>
      <c r="D55" s="367">
        <f>D54+D47+D49</f>
        <v>14910</v>
      </c>
      <c r="E55" s="367">
        <f>E54+E47+E49</f>
        <v>98798</v>
      </c>
      <c r="F55" s="394">
        <f>F54+F47+F49</f>
        <v>14193</v>
      </c>
      <c r="G55" s="350">
        <v>403641</v>
      </c>
      <c r="H55" s="350">
        <v>88021</v>
      </c>
      <c r="I55" s="352">
        <v>14910</v>
      </c>
      <c r="J55" s="350">
        <v>98798</v>
      </c>
      <c r="K55" s="352">
        <v>14193</v>
      </c>
      <c r="L55" s="352"/>
      <c r="M55" s="352"/>
      <c r="N55" s="352"/>
      <c r="O55" s="352"/>
      <c r="P55" s="350"/>
      <c r="Q55" s="350"/>
      <c r="R55" s="350"/>
      <c r="S55" s="350"/>
      <c r="T55" s="350"/>
      <c r="U55" s="350"/>
      <c r="V55" s="350"/>
      <c r="W55" s="350"/>
      <c r="X55" s="352"/>
    </row>
    <row r="56" spans="1:11" ht="19.5" customHeight="1" hidden="1" thickBot="1">
      <c r="A56" s="633"/>
      <c r="B56" s="634"/>
      <c r="C56" s="634"/>
      <c r="D56" s="634"/>
      <c r="E56" s="635"/>
      <c r="F56" s="231"/>
      <c r="H56" s="350"/>
      <c r="I56" s="352"/>
      <c r="J56" s="352"/>
      <c r="K56" s="352"/>
    </row>
    <row r="57" spans="1:11" ht="19.5" customHeight="1" hidden="1">
      <c r="A57" s="281"/>
      <c r="B57" s="232"/>
      <c r="C57" s="308"/>
      <c r="D57" s="309"/>
      <c r="E57" s="310"/>
      <c r="F57" s="310"/>
      <c r="H57" s="352"/>
      <c r="I57" s="352"/>
      <c r="J57" s="352"/>
      <c r="K57" s="352"/>
    </row>
    <row r="58" spans="1:11" ht="16.5" customHeight="1" hidden="1">
      <c r="A58" s="243"/>
      <c r="B58" s="232"/>
      <c r="C58" s="308"/>
      <c r="D58" s="309"/>
      <c r="E58" s="310"/>
      <c r="F58" s="310"/>
      <c r="H58" s="352"/>
      <c r="I58" s="352"/>
      <c r="J58" s="352"/>
      <c r="K58" s="352"/>
    </row>
    <row r="59" spans="1:11" ht="16.5" customHeight="1" hidden="1" thickBot="1">
      <c r="A59" s="277"/>
      <c r="B59" s="279"/>
      <c r="C59" s="325"/>
      <c r="D59" s="320"/>
      <c r="E59" s="321"/>
      <c r="F59" s="321"/>
      <c r="H59" s="352"/>
      <c r="I59" s="352"/>
      <c r="J59" s="352"/>
      <c r="K59" s="352"/>
    </row>
    <row r="60" spans="1:11" ht="16.5" customHeight="1" hidden="1" thickBot="1">
      <c r="A60" s="240"/>
      <c r="B60" s="280"/>
      <c r="C60" s="322"/>
      <c r="D60" s="323"/>
      <c r="E60" s="324"/>
      <c r="F60" s="324"/>
      <c r="H60" s="352"/>
      <c r="I60" s="352"/>
      <c r="J60" s="352"/>
      <c r="K60" s="352"/>
    </row>
    <row r="61" spans="1:11" ht="32.25" customHeight="1" hidden="1">
      <c r="A61" s="281"/>
      <c r="B61" s="232"/>
      <c r="C61" s="308"/>
      <c r="D61" s="309"/>
      <c r="E61" s="310"/>
      <c r="F61" s="310"/>
      <c r="H61" s="352"/>
      <c r="I61" s="352"/>
      <c r="J61" s="352"/>
      <c r="K61" s="352"/>
    </row>
    <row r="62" spans="1:11" ht="16.5" customHeight="1" hidden="1">
      <c r="A62" s="243"/>
      <c r="B62" s="232"/>
      <c r="C62" s="311"/>
      <c r="D62" s="312"/>
      <c r="E62" s="313"/>
      <c r="F62" s="313"/>
      <c r="H62" s="352"/>
      <c r="I62" s="352"/>
      <c r="J62" s="352"/>
      <c r="K62" s="352"/>
    </row>
    <row r="63" spans="1:11" ht="16.5" customHeight="1" hidden="1">
      <c r="A63" s="257"/>
      <c r="B63" s="232"/>
      <c r="C63" s="308"/>
      <c r="D63" s="309"/>
      <c r="E63" s="310"/>
      <c r="F63" s="310"/>
      <c r="H63" s="352"/>
      <c r="I63" s="352"/>
      <c r="J63" s="352"/>
      <c r="K63" s="352"/>
    </row>
    <row r="64" spans="1:11" ht="16.5" customHeight="1" hidden="1" thickBot="1">
      <c r="A64" s="277"/>
      <c r="B64" s="279"/>
      <c r="C64" s="319"/>
      <c r="D64" s="320"/>
      <c r="E64" s="321"/>
      <c r="F64" s="321"/>
      <c r="H64" s="352"/>
      <c r="I64" s="352"/>
      <c r="J64" s="352"/>
      <c r="K64" s="352"/>
    </row>
    <row r="65" spans="1:11" ht="16.5" customHeight="1" hidden="1" thickBot="1">
      <c r="A65" s="240"/>
      <c r="B65" s="280"/>
      <c r="C65" s="322"/>
      <c r="D65" s="323"/>
      <c r="E65" s="324"/>
      <c r="F65" s="324"/>
      <c r="H65" s="352"/>
      <c r="I65" s="352"/>
      <c r="J65" s="352"/>
      <c r="K65" s="352"/>
    </row>
    <row r="66" spans="1:11" ht="17.25" customHeight="1" hidden="1" thickBot="1">
      <c r="A66" s="240"/>
      <c r="B66" s="241"/>
      <c r="C66" s="317"/>
      <c r="D66" s="317"/>
      <c r="E66" s="318"/>
      <c r="F66" s="318"/>
      <c r="H66" s="352"/>
      <c r="I66" s="352"/>
      <c r="J66" s="352"/>
      <c r="K66" s="352"/>
    </row>
    <row r="67" spans="1:11" ht="30.75" customHeight="1" hidden="1" thickBot="1">
      <c r="A67" s="633"/>
      <c r="B67" s="634"/>
      <c r="C67" s="634"/>
      <c r="D67" s="634"/>
      <c r="E67" s="635"/>
      <c r="F67" s="230"/>
      <c r="H67" s="352"/>
      <c r="I67" s="352"/>
      <c r="J67" s="352"/>
      <c r="K67" s="352"/>
    </row>
    <row r="68" spans="1:11" ht="15.75" hidden="1" thickBot="1">
      <c r="A68" s="234"/>
      <c r="B68" s="232"/>
      <c r="C68" s="308"/>
      <c r="D68" s="309"/>
      <c r="E68" s="310"/>
      <c r="F68" s="310"/>
      <c r="H68" s="352"/>
      <c r="I68" s="352"/>
      <c r="J68" s="352"/>
      <c r="K68" s="352"/>
    </row>
    <row r="69" spans="1:11" ht="22.5" customHeight="1" hidden="1" thickBot="1">
      <c r="A69" s="235"/>
      <c r="B69" s="232"/>
      <c r="C69" s="311"/>
      <c r="D69" s="309"/>
      <c r="E69" s="310"/>
      <c r="F69" s="310"/>
      <c r="H69" s="352"/>
      <c r="I69" s="352"/>
      <c r="J69" s="352"/>
      <c r="K69" s="352"/>
    </row>
    <row r="70" spans="1:11" ht="15.75" hidden="1" thickBot="1">
      <c r="A70" s="240"/>
      <c r="B70" s="241"/>
      <c r="C70" s="317"/>
      <c r="D70" s="317"/>
      <c r="E70" s="318"/>
      <c r="F70" s="318"/>
      <c r="H70" s="352"/>
      <c r="I70" s="352"/>
      <c r="J70" s="352"/>
      <c r="K70" s="352"/>
    </row>
    <row r="71" spans="1:11" ht="20.25" customHeight="1">
      <c r="A71" s="625" t="s">
        <v>404</v>
      </c>
      <c r="B71" s="626"/>
      <c r="C71" s="626"/>
      <c r="D71" s="626"/>
      <c r="E71" s="626"/>
      <c r="F71" s="627"/>
      <c r="G71" s="350">
        <f>G55-B55</f>
        <v>0</v>
      </c>
      <c r="H71" s="350">
        <f>H55-C55</f>
        <v>0</v>
      </c>
      <c r="I71" s="350">
        <f>I55-D55</f>
        <v>0</v>
      </c>
      <c r="J71" s="350">
        <f>J55-E55</f>
        <v>0</v>
      </c>
      <c r="K71" s="350">
        <f>K55-F55</f>
        <v>0</v>
      </c>
    </row>
    <row r="72" spans="1:8" ht="20.25" customHeight="1">
      <c r="A72" s="249" t="s">
        <v>78</v>
      </c>
      <c r="B72" s="232">
        <f aca="true" t="shared" si="1" ref="B72:B91">ROUND(C72+D72+E72*2.9+F72*$H$1,0)</f>
        <v>1701</v>
      </c>
      <c r="C72" s="357">
        <v>782</v>
      </c>
      <c r="D72" s="358">
        <v>0</v>
      </c>
      <c r="E72" s="358">
        <v>317</v>
      </c>
      <c r="F72" s="567">
        <v>0</v>
      </c>
      <c r="H72" s="231"/>
    </row>
    <row r="73" spans="1:8" ht="20.25" customHeight="1">
      <c r="A73" s="249" t="s">
        <v>9</v>
      </c>
      <c r="B73" s="232">
        <f>ROUND(C73+D73+E73*2.9+F73*$H$1,0)-1</f>
        <v>512</v>
      </c>
      <c r="C73" s="357">
        <v>179</v>
      </c>
      <c r="D73" s="358">
        <v>0</v>
      </c>
      <c r="E73" s="358">
        <v>115</v>
      </c>
      <c r="F73" s="567">
        <v>0</v>
      </c>
      <c r="H73" s="231"/>
    </row>
    <row r="74" spans="1:23" ht="15">
      <c r="A74" s="244" t="s">
        <v>73</v>
      </c>
      <c r="B74" s="245">
        <f t="shared" si="1"/>
        <v>1482</v>
      </c>
      <c r="C74" s="368">
        <v>682</v>
      </c>
      <c r="D74" s="358">
        <v>0</v>
      </c>
      <c r="E74" s="358">
        <v>276</v>
      </c>
      <c r="F74" s="567">
        <v>0</v>
      </c>
      <c r="G74" s="231"/>
      <c r="H74" s="231"/>
      <c r="I74" s="231"/>
      <c r="J74" s="231"/>
      <c r="K74" s="231"/>
      <c r="P74" s="351"/>
      <c r="Q74" s="351"/>
      <c r="R74" s="351"/>
      <c r="S74" s="351"/>
      <c r="T74" s="351"/>
      <c r="U74" s="351"/>
      <c r="V74" s="351"/>
      <c r="W74" s="351"/>
    </row>
    <row r="75" spans="1:23" ht="15">
      <c r="A75" s="249" t="s">
        <v>436</v>
      </c>
      <c r="B75" s="232">
        <f t="shared" si="1"/>
        <v>1309</v>
      </c>
      <c r="C75" s="357">
        <v>462</v>
      </c>
      <c r="D75" s="358">
        <v>0</v>
      </c>
      <c r="E75" s="358">
        <v>292</v>
      </c>
      <c r="F75" s="567">
        <v>0</v>
      </c>
      <c r="H75" s="231"/>
      <c r="P75" s="351"/>
      <c r="Q75" s="351"/>
      <c r="R75" s="351"/>
      <c r="S75" s="351"/>
      <c r="T75" s="351"/>
      <c r="U75" s="351"/>
      <c r="V75" s="351"/>
      <c r="W75" s="351"/>
    </row>
    <row r="76" spans="1:23" ht="15">
      <c r="A76" s="249" t="s">
        <v>230</v>
      </c>
      <c r="B76" s="232">
        <f t="shared" si="1"/>
        <v>2444</v>
      </c>
      <c r="C76" s="357">
        <v>1124</v>
      </c>
      <c r="D76" s="358">
        <v>35</v>
      </c>
      <c r="E76" s="358">
        <v>443</v>
      </c>
      <c r="F76" s="567">
        <v>0</v>
      </c>
      <c r="H76" s="231"/>
      <c r="P76" s="351"/>
      <c r="Q76" s="351"/>
      <c r="R76" s="351"/>
      <c r="S76" s="351"/>
      <c r="T76" s="351"/>
      <c r="U76" s="351"/>
      <c r="V76" s="351"/>
      <c r="W76" s="351"/>
    </row>
    <row r="77" spans="1:23" ht="15">
      <c r="A77" s="249" t="s">
        <v>34</v>
      </c>
      <c r="B77" s="232">
        <f t="shared" si="1"/>
        <v>8097</v>
      </c>
      <c r="C77" s="357">
        <v>4281</v>
      </c>
      <c r="D77" s="358">
        <v>3500</v>
      </c>
      <c r="E77" s="358">
        <v>109</v>
      </c>
      <c r="F77" s="567">
        <v>0</v>
      </c>
      <c r="H77" s="231"/>
      <c r="P77" s="351"/>
      <c r="Q77" s="351"/>
      <c r="R77" s="351"/>
      <c r="S77" s="351"/>
      <c r="T77" s="351"/>
      <c r="U77" s="351"/>
      <c r="V77" s="351"/>
      <c r="W77" s="351"/>
    </row>
    <row r="78" spans="1:23" ht="15">
      <c r="A78" s="249" t="s">
        <v>501</v>
      </c>
      <c r="B78" s="232">
        <f t="shared" si="1"/>
        <v>4093</v>
      </c>
      <c r="C78" s="357">
        <v>1883</v>
      </c>
      <c r="D78" s="358">
        <v>0</v>
      </c>
      <c r="E78" s="358">
        <v>762</v>
      </c>
      <c r="F78" s="567">
        <v>0</v>
      </c>
      <c r="H78" s="231"/>
      <c r="P78" s="351"/>
      <c r="Q78" s="351"/>
      <c r="R78" s="351"/>
      <c r="S78" s="351"/>
      <c r="T78" s="351"/>
      <c r="U78" s="351"/>
      <c r="V78" s="351"/>
      <c r="W78" s="351"/>
    </row>
    <row r="79" spans="1:23" s="246" customFormat="1" ht="30">
      <c r="A79" s="574" t="s">
        <v>502</v>
      </c>
      <c r="B79" s="273">
        <f>ROUND(C79*10+D79+E79*2.9+F79*$H$1,0)</f>
        <v>300</v>
      </c>
      <c r="C79" s="362">
        <v>30</v>
      </c>
      <c r="D79" s="562">
        <v>0</v>
      </c>
      <c r="E79" s="562">
        <v>0</v>
      </c>
      <c r="F79" s="567">
        <v>0</v>
      </c>
      <c r="H79" s="247"/>
      <c r="P79" s="490"/>
      <c r="Q79" s="490"/>
      <c r="R79" s="490"/>
      <c r="S79" s="490"/>
      <c r="T79" s="490"/>
      <c r="U79" s="490"/>
      <c r="V79" s="490"/>
      <c r="W79" s="490"/>
    </row>
    <row r="80" spans="1:23" ht="15">
      <c r="A80" s="250" t="s">
        <v>79</v>
      </c>
      <c r="B80" s="232">
        <f t="shared" si="1"/>
        <v>2663</v>
      </c>
      <c r="C80" s="357">
        <v>932</v>
      </c>
      <c r="D80" s="358">
        <v>667</v>
      </c>
      <c r="E80" s="358">
        <v>367</v>
      </c>
      <c r="F80" s="567">
        <v>0</v>
      </c>
      <c r="H80" s="231"/>
      <c r="P80" s="351"/>
      <c r="Q80" s="351"/>
      <c r="R80" s="351"/>
      <c r="S80" s="351"/>
      <c r="T80" s="351"/>
      <c r="U80" s="351"/>
      <c r="V80" s="351"/>
      <c r="W80" s="351"/>
    </row>
    <row r="81" spans="1:23" ht="15">
      <c r="A81" s="249" t="s">
        <v>3</v>
      </c>
      <c r="B81" s="232">
        <f t="shared" si="1"/>
        <v>9783</v>
      </c>
      <c r="C81" s="357">
        <v>4500</v>
      </c>
      <c r="D81" s="358">
        <v>5</v>
      </c>
      <c r="E81" s="358">
        <v>1820</v>
      </c>
      <c r="F81" s="567">
        <v>0</v>
      </c>
      <c r="H81" s="231"/>
      <c r="P81" s="351"/>
      <c r="Q81" s="351"/>
      <c r="R81" s="351"/>
      <c r="S81" s="351"/>
      <c r="T81" s="351"/>
      <c r="U81" s="351"/>
      <c r="V81" s="351"/>
      <c r="W81" s="351"/>
    </row>
    <row r="82" spans="1:23" ht="15">
      <c r="A82" s="249" t="s">
        <v>8</v>
      </c>
      <c r="B82" s="232">
        <f t="shared" si="1"/>
        <v>467</v>
      </c>
      <c r="C82" s="357">
        <v>215</v>
      </c>
      <c r="D82" s="358">
        <v>0</v>
      </c>
      <c r="E82" s="358">
        <v>87</v>
      </c>
      <c r="F82" s="567">
        <v>0</v>
      </c>
      <c r="H82" s="231"/>
      <c r="P82" s="351"/>
      <c r="Q82" s="351"/>
      <c r="R82" s="351"/>
      <c r="S82" s="351"/>
      <c r="T82" s="351"/>
      <c r="U82" s="351"/>
      <c r="V82" s="351"/>
      <c r="W82" s="351"/>
    </row>
    <row r="83" spans="1:23" ht="15">
      <c r="A83" s="251" t="s">
        <v>77</v>
      </c>
      <c r="B83" s="232">
        <f t="shared" si="1"/>
        <v>7426</v>
      </c>
      <c r="C83" s="357">
        <v>3416</v>
      </c>
      <c r="D83" s="358">
        <v>75</v>
      </c>
      <c r="E83" s="358">
        <v>1357</v>
      </c>
      <c r="F83" s="567">
        <v>0</v>
      </c>
      <c r="H83" s="231"/>
      <c r="P83" s="351"/>
      <c r="Q83" s="351"/>
      <c r="R83" s="351"/>
      <c r="S83" s="351"/>
      <c r="T83" s="351"/>
      <c r="U83" s="351"/>
      <c r="V83" s="351"/>
      <c r="W83" s="351"/>
    </row>
    <row r="84" spans="1:23" ht="15">
      <c r="A84" s="249" t="s">
        <v>2</v>
      </c>
      <c r="B84" s="232">
        <f t="shared" si="1"/>
        <v>8118</v>
      </c>
      <c r="C84" s="357">
        <v>3734</v>
      </c>
      <c r="D84" s="358">
        <v>25</v>
      </c>
      <c r="E84" s="358">
        <v>1503</v>
      </c>
      <c r="F84" s="567">
        <v>0</v>
      </c>
      <c r="H84" s="231"/>
      <c r="P84" s="351"/>
      <c r="Q84" s="351"/>
      <c r="R84" s="351"/>
      <c r="S84" s="351"/>
      <c r="T84" s="351"/>
      <c r="U84" s="351"/>
      <c r="V84" s="351"/>
      <c r="W84" s="351"/>
    </row>
    <row r="85" spans="1:23" ht="15">
      <c r="A85" s="244" t="s">
        <v>376</v>
      </c>
      <c r="B85" s="245">
        <f t="shared" si="1"/>
        <v>131261</v>
      </c>
      <c r="C85" s="357">
        <v>60316</v>
      </c>
      <c r="D85" s="358">
        <v>15767</v>
      </c>
      <c r="E85" s="358">
        <v>19027</v>
      </c>
      <c r="F85" s="567">
        <v>0</v>
      </c>
      <c r="J85" s="352"/>
      <c r="K85" s="231"/>
      <c r="N85" s="231"/>
      <c r="P85" s="351"/>
      <c r="Q85" s="351"/>
      <c r="R85" s="351"/>
      <c r="S85" s="351"/>
      <c r="T85" s="351"/>
      <c r="U85" s="351"/>
      <c r="V85" s="351"/>
      <c r="W85" s="351"/>
    </row>
    <row r="86" spans="1:23" s="267" customFormat="1" ht="30.75" customHeight="1">
      <c r="A86" s="265" t="s">
        <v>403</v>
      </c>
      <c r="B86" s="266">
        <f t="shared" si="1"/>
        <v>18739</v>
      </c>
      <c r="C86" s="362">
        <f>C87+C88+C89</f>
        <v>18739</v>
      </c>
      <c r="D86" s="562">
        <v>0</v>
      </c>
      <c r="E86" s="562">
        <v>0</v>
      </c>
      <c r="F86" s="567">
        <v>0</v>
      </c>
      <c r="G86" s="230"/>
      <c r="H86" s="269"/>
      <c r="I86" s="268"/>
      <c r="J86" s="268"/>
      <c r="K86" s="268"/>
      <c r="N86" s="268"/>
      <c r="P86" s="351"/>
      <c r="Q86" s="351"/>
      <c r="R86" s="351"/>
      <c r="S86" s="351"/>
      <c r="T86" s="351"/>
      <c r="U86" s="351"/>
      <c r="V86" s="351"/>
      <c r="W86" s="351"/>
    </row>
    <row r="87" spans="1:23" s="267" customFormat="1" ht="29.25" customHeight="1">
      <c r="A87" s="574" t="s">
        <v>146</v>
      </c>
      <c r="B87" s="266">
        <f t="shared" si="1"/>
        <v>134</v>
      </c>
      <c r="C87" s="362">
        <f>'1.1. ПРОФ.МЕРОПРИЯТИЯ'!C10</f>
        <v>134</v>
      </c>
      <c r="D87" s="562">
        <v>0</v>
      </c>
      <c r="E87" s="562">
        <v>0</v>
      </c>
      <c r="F87" s="567">
        <v>0</v>
      </c>
      <c r="G87" s="230"/>
      <c r="H87" s="269"/>
      <c r="I87" s="268"/>
      <c r="J87" s="268"/>
      <c r="K87" s="268"/>
      <c r="N87" s="268"/>
      <c r="P87" s="351"/>
      <c r="Q87" s="351"/>
      <c r="R87" s="351"/>
      <c r="S87" s="351"/>
      <c r="T87" s="351"/>
      <c r="U87" s="351"/>
      <c r="V87" s="351"/>
      <c r="W87" s="351"/>
    </row>
    <row r="88" spans="1:23" s="267" customFormat="1" ht="31.5" customHeight="1">
      <c r="A88" s="574" t="s">
        <v>147</v>
      </c>
      <c r="B88" s="266">
        <f t="shared" si="1"/>
        <v>100</v>
      </c>
      <c r="C88" s="362">
        <f>'1.1. ПРОФ.МЕРОПРИЯТИЯ'!D10</f>
        <v>100</v>
      </c>
      <c r="D88" s="562">
        <v>0</v>
      </c>
      <c r="E88" s="562">
        <v>0</v>
      </c>
      <c r="F88" s="567">
        <v>0</v>
      </c>
      <c r="G88" s="230"/>
      <c r="H88" s="269"/>
      <c r="I88" s="268"/>
      <c r="J88" s="268"/>
      <c r="K88" s="268"/>
      <c r="N88" s="268"/>
      <c r="P88" s="351"/>
      <c r="Q88" s="351"/>
      <c r="R88" s="351"/>
      <c r="S88" s="351"/>
      <c r="T88" s="351"/>
      <c r="U88" s="351"/>
      <c r="V88" s="351"/>
      <c r="W88" s="351"/>
    </row>
    <row r="89" spans="1:23" s="246" customFormat="1" ht="24.75" customHeight="1">
      <c r="A89" s="574" t="s">
        <v>148</v>
      </c>
      <c r="B89" s="266">
        <f t="shared" si="1"/>
        <v>18505</v>
      </c>
      <c r="C89" s="314">
        <f>'1.1. ПРОФ.МЕРОПРИЯТИЯ'!H10</f>
        <v>18505</v>
      </c>
      <c r="D89" s="562">
        <v>0</v>
      </c>
      <c r="E89" s="562">
        <v>0</v>
      </c>
      <c r="F89" s="567">
        <v>0</v>
      </c>
      <c r="G89" s="230"/>
      <c r="H89" s="248"/>
      <c r="I89" s="247"/>
      <c r="J89" s="247"/>
      <c r="K89" s="247"/>
      <c r="N89" s="247"/>
      <c r="P89" s="351"/>
      <c r="Q89" s="351"/>
      <c r="R89" s="351"/>
      <c r="S89" s="351"/>
      <c r="T89" s="351"/>
      <c r="U89" s="351"/>
      <c r="V89" s="351"/>
      <c r="W89" s="351"/>
    </row>
    <row r="90" spans="1:23" ht="15" customHeight="1">
      <c r="A90" s="249" t="s">
        <v>435</v>
      </c>
      <c r="B90" s="232">
        <f t="shared" si="1"/>
        <v>7263</v>
      </c>
      <c r="C90" s="357">
        <v>3341</v>
      </c>
      <c r="D90" s="358">
        <v>1382</v>
      </c>
      <c r="E90" s="358">
        <v>876</v>
      </c>
      <c r="F90" s="567">
        <v>0</v>
      </c>
      <c r="J90" s="352"/>
      <c r="P90" s="351"/>
      <c r="Q90" s="351"/>
      <c r="R90" s="351"/>
      <c r="S90" s="351"/>
      <c r="T90" s="351"/>
      <c r="U90" s="351"/>
      <c r="V90" s="351"/>
      <c r="W90" s="351"/>
    </row>
    <row r="91" spans="1:23" ht="30.75" thickBot="1">
      <c r="A91" s="251" t="s">
        <v>80</v>
      </c>
      <c r="B91" s="232">
        <f t="shared" si="1"/>
        <v>14748</v>
      </c>
      <c r="C91" s="357">
        <v>14242</v>
      </c>
      <c r="D91" s="358">
        <v>100</v>
      </c>
      <c r="E91" s="358">
        <v>140</v>
      </c>
      <c r="F91" s="567">
        <v>0</v>
      </c>
      <c r="G91" s="231"/>
      <c r="H91" s="231"/>
      <c r="I91" s="231"/>
      <c r="P91" s="351"/>
      <c r="Q91" s="351"/>
      <c r="R91" s="351"/>
      <c r="S91" s="351"/>
      <c r="T91" s="351"/>
      <c r="U91" s="351"/>
      <c r="V91" s="351"/>
      <c r="W91" s="351"/>
    </row>
    <row r="92" spans="1:23" ht="17.25" customHeight="1" thickBot="1">
      <c r="A92" s="240" t="s">
        <v>497</v>
      </c>
      <c r="B92" s="317">
        <f>SUM(B72:B78,B80:B85,B90:B91)</f>
        <v>201367</v>
      </c>
      <c r="C92" s="317">
        <f>SUM(C72:C78,C80:C85,C90:C91)</f>
        <v>100089</v>
      </c>
      <c r="D92" s="317">
        <f>SUM(D72:D78,D80:D85,D90:D91)</f>
        <v>21556</v>
      </c>
      <c r="E92" s="573">
        <f>SUM(E72:E78,E80:E85,E90:E91)</f>
        <v>27491</v>
      </c>
      <c r="F92" s="318">
        <f>SUM(F72:F78,F80:F85,F90:F91)</f>
        <v>0</v>
      </c>
      <c r="G92" s="350">
        <v>201367</v>
      </c>
      <c r="H92" s="350">
        <v>100089</v>
      </c>
      <c r="I92" s="352">
        <v>21556</v>
      </c>
      <c r="J92" s="350">
        <v>27491</v>
      </c>
      <c r="K92" s="352">
        <v>0</v>
      </c>
      <c r="L92" s="231"/>
      <c r="M92" s="231"/>
      <c r="P92" s="231"/>
      <c r="Q92" s="350"/>
      <c r="R92" s="350"/>
      <c r="S92" s="350"/>
      <c r="T92" s="350"/>
      <c r="U92" s="350"/>
      <c r="V92" s="350"/>
      <c r="W92" s="350"/>
    </row>
    <row r="93" spans="1:11" ht="25.5" customHeight="1">
      <c r="A93" s="625" t="s">
        <v>405</v>
      </c>
      <c r="B93" s="626"/>
      <c r="C93" s="626"/>
      <c r="D93" s="626"/>
      <c r="E93" s="626"/>
      <c r="F93" s="627"/>
      <c r="G93" s="350"/>
      <c r="H93" s="350"/>
      <c r="I93" s="350"/>
      <c r="J93" s="350"/>
      <c r="K93" s="350"/>
    </row>
    <row r="94" spans="1:17" ht="15.75" customHeight="1">
      <c r="A94" s="243" t="s">
        <v>38</v>
      </c>
      <c r="B94" s="245">
        <f>ROUND(C94+D94+E94*2.9+F94*$H$1,0)</f>
        <v>33345</v>
      </c>
      <c r="C94" s="353">
        <v>20112</v>
      </c>
      <c r="D94" s="354">
        <v>1140</v>
      </c>
      <c r="E94" s="354">
        <v>3711</v>
      </c>
      <c r="F94" s="557">
        <f>'1.2. Диспансерное наблюдение'!$B$9</f>
        <v>1331</v>
      </c>
      <c r="H94" s="231"/>
      <c r="I94" s="231"/>
      <c r="J94" s="231"/>
      <c r="K94" s="231"/>
      <c r="O94" s="231"/>
      <c r="Q94" s="231"/>
    </row>
    <row r="95" spans="1:11" ht="15.75" customHeight="1">
      <c r="A95" s="252" t="s">
        <v>109</v>
      </c>
      <c r="B95" s="232">
        <f>ROUND(C95+D95+E95*2.9+F95*$H$1,0)</f>
        <v>2470</v>
      </c>
      <c r="C95" s="356">
        <v>888</v>
      </c>
      <c r="D95" s="354">
        <v>10</v>
      </c>
      <c r="E95" s="354">
        <v>542</v>
      </c>
      <c r="F95" s="355"/>
      <c r="H95" s="231"/>
      <c r="I95" s="231"/>
      <c r="J95" s="231"/>
      <c r="K95" s="231"/>
    </row>
    <row r="96" spans="1:11" ht="15.75" customHeight="1">
      <c r="A96" s="252" t="s">
        <v>0</v>
      </c>
      <c r="B96" s="232">
        <f>ROUND(C96+D96+E96*2.9+F96*$H$1,0)</f>
        <v>1482</v>
      </c>
      <c r="C96" s="356">
        <v>1482</v>
      </c>
      <c r="D96" s="354">
        <v>0</v>
      </c>
      <c r="E96" s="354">
        <v>0</v>
      </c>
      <c r="F96" s="355"/>
      <c r="H96" s="231"/>
      <c r="I96" s="231"/>
      <c r="J96" s="231"/>
      <c r="K96" s="231"/>
    </row>
    <row r="97" spans="1:11" ht="15.75" customHeight="1">
      <c r="A97" s="252" t="s">
        <v>2</v>
      </c>
      <c r="B97" s="232">
        <f>ROUND(C97+D97+E97*2.9+F97*$H$1,0)</f>
        <v>902</v>
      </c>
      <c r="C97" s="356">
        <v>864</v>
      </c>
      <c r="D97" s="354">
        <v>0</v>
      </c>
      <c r="E97" s="354">
        <v>13</v>
      </c>
      <c r="F97" s="355"/>
      <c r="H97" s="231"/>
      <c r="I97" s="231"/>
      <c r="J97" s="231"/>
      <c r="K97" s="231"/>
    </row>
    <row r="98" spans="1:11" ht="27" customHeight="1" thickBot="1">
      <c r="A98" s="253" t="s">
        <v>206</v>
      </c>
      <c r="B98" s="232">
        <f>ROUND(C98+D98+E98*2.9+F98*$H$1,0)</f>
        <v>1000</v>
      </c>
      <c r="C98" s="359">
        <v>1000</v>
      </c>
      <c r="D98" s="360"/>
      <c r="E98" s="360"/>
      <c r="F98" s="361"/>
      <c r="H98" s="231"/>
      <c r="I98" s="231"/>
      <c r="J98" s="231"/>
      <c r="K98" s="231"/>
    </row>
    <row r="99" spans="1:11" ht="30" customHeight="1" thickBot="1">
      <c r="A99" s="240" t="s">
        <v>498</v>
      </c>
      <c r="B99" s="242">
        <f>SUM(B94:B98)</f>
        <v>39199</v>
      </c>
      <c r="C99" s="242">
        <f>SUM(C94:C98)</f>
        <v>24346</v>
      </c>
      <c r="D99" s="242">
        <f>SUM(D94:D98)</f>
        <v>1150</v>
      </c>
      <c r="E99" s="242">
        <f>SUM(E94:E98)</f>
        <v>4266</v>
      </c>
      <c r="F99" s="242">
        <f>SUM(F94:F98)</f>
        <v>1331</v>
      </c>
      <c r="G99" s="350">
        <v>39199</v>
      </c>
      <c r="H99" s="350">
        <v>24346</v>
      </c>
      <c r="I99" s="352">
        <v>1150</v>
      </c>
      <c r="J99" s="350">
        <v>4266</v>
      </c>
      <c r="K99" s="352">
        <v>1331</v>
      </c>
    </row>
    <row r="100" spans="1:11" ht="21" customHeight="1" hidden="1" thickBot="1">
      <c r="A100" s="633"/>
      <c r="B100" s="634"/>
      <c r="C100" s="634"/>
      <c r="D100" s="634"/>
      <c r="E100" s="635"/>
      <c r="F100" s="230"/>
      <c r="G100" s="350">
        <f>G99-B99</f>
        <v>0</v>
      </c>
      <c r="H100" s="350">
        <f>H99-C99</f>
        <v>0</v>
      </c>
      <c r="I100" s="350">
        <f>I99-D99</f>
        <v>0</v>
      </c>
      <c r="J100" s="350">
        <f>J99-E99</f>
        <v>0</v>
      </c>
      <c r="K100" s="350">
        <f>K99-F99</f>
        <v>0</v>
      </c>
    </row>
    <row r="101" spans="1:6" ht="15.75" hidden="1" thickBot="1">
      <c r="A101" s="235"/>
      <c r="B101" s="232"/>
      <c r="C101" s="311"/>
      <c r="D101" s="309"/>
      <c r="E101" s="310"/>
      <c r="F101" s="310"/>
    </row>
    <row r="102" spans="1:6" ht="15.75" hidden="1" thickBot="1">
      <c r="A102" s="252"/>
      <c r="B102" s="232"/>
      <c r="C102" s="311"/>
      <c r="D102" s="309"/>
      <c r="E102" s="310"/>
      <c r="F102" s="310"/>
    </row>
    <row r="103" spans="1:7" s="270" customFormat="1" ht="15.75" hidden="1" thickBot="1">
      <c r="A103" s="265"/>
      <c r="B103" s="266"/>
      <c r="C103" s="314"/>
      <c r="D103" s="315"/>
      <c r="E103" s="316"/>
      <c r="F103" s="316"/>
      <c r="G103" s="230"/>
    </row>
    <row r="104" spans="1:7" s="270" customFormat="1" ht="15.75" hidden="1" thickBot="1">
      <c r="A104" s="265"/>
      <c r="B104" s="266"/>
      <c r="C104" s="314"/>
      <c r="D104" s="315"/>
      <c r="E104" s="316"/>
      <c r="F104" s="316"/>
      <c r="G104" s="230"/>
    </row>
    <row r="105" spans="1:7" s="270" customFormat="1" ht="15.75" hidden="1" thickBot="1">
      <c r="A105" s="265"/>
      <c r="B105" s="266"/>
      <c r="C105" s="314"/>
      <c r="D105" s="315"/>
      <c r="E105" s="316"/>
      <c r="F105" s="316"/>
      <c r="G105" s="230"/>
    </row>
    <row r="106" spans="1:6" ht="15.75" hidden="1" thickBot="1">
      <c r="A106" s="252"/>
      <c r="B106" s="232"/>
      <c r="C106" s="311"/>
      <c r="D106" s="309"/>
      <c r="E106" s="310"/>
      <c r="F106" s="310"/>
    </row>
    <row r="107" spans="1:6" ht="15.75" hidden="1" thickBot="1">
      <c r="A107" s="252"/>
      <c r="B107" s="232"/>
      <c r="C107" s="311"/>
      <c r="D107" s="309"/>
      <c r="E107" s="310"/>
      <c r="F107" s="310"/>
    </row>
    <row r="108" spans="1:6" ht="15.75" hidden="1" thickBot="1">
      <c r="A108" s="252"/>
      <c r="B108" s="232"/>
      <c r="C108" s="311"/>
      <c r="D108" s="309"/>
      <c r="E108" s="310"/>
      <c r="F108" s="310"/>
    </row>
    <row r="109" spans="1:6" ht="15.75" hidden="1" thickBot="1">
      <c r="A109" s="252"/>
      <c r="B109" s="232"/>
      <c r="C109" s="311"/>
      <c r="D109" s="309"/>
      <c r="E109" s="310"/>
      <c r="F109" s="310"/>
    </row>
    <row r="110" spans="1:6" ht="15.75" hidden="1" thickBot="1">
      <c r="A110" s="243"/>
      <c r="B110" s="232"/>
      <c r="C110" s="308"/>
      <c r="D110" s="309"/>
      <c r="E110" s="310"/>
      <c r="F110" s="310"/>
    </row>
    <row r="111" spans="1:6" ht="15.75" hidden="1" thickBot="1">
      <c r="A111" s="252"/>
      <c r="B111" s="232"/>
      <c r="C111" s="311"/>
      <c r="D111" s="309"/>
      <c r="E111" s="310"/>
      <c r="F111" s="310"/>
    </row>
    <row r="112" spans="1:6" ht="18" customHeight="1" hidden="1" thickBot="1">
      <c r="A112" s="240"/>
      <c r="B112" s="242"/>
      <c r="C112" s="317"/>
      <c r="D112" s="317"/>
      <c r="E112" s="318"/>
      <c r="F112" s="318"/>
    </row>
    <row r="113" spans="1:11" ht="21.75" customHeight="1">
      <c r="A113" s="625" t="s">
        <v>406</v>
      </c>
      <c r="B113" s="626"/>
      <c r="C113" s="626"/>
      <c r="D113" s="626"/>
      <c r="E113" s="626"/>
      <c r="F113" s="626"/>
      <c r="G113" s="350">
        <f>G112-B112</f>
        <v>0</v>
      </c>
      <c r="H113" s="350">
        <f>H112-C112</f>
        <v>0</v>
      </c>
      <c r="I113" s="350">
        <f>I112-D112</f>
        <v>0</v>
      </c>
      <c r="J113" s="350">
        <f>J112-E112</f>
        <v>0</v>
      </c>
      <c r="K113" s="350">
        <f>K112-F112</f>
        <v>0</v>
      </c>
    </row>
    <row r="114" spans="1:11" ht="20.25" customHeight="1">
      <c r="A114" s="252" t="s">
        <v>69</v>
      </c>
      <c r="B114" s="254">
        <f>ROUND(C114+D114+E114*2.9+F114*$H$1,0)-1</f>
        <v>3364</v>
      </c>
      <c r="C114" s="357">
        <v>871</v>
      </c>
      <c r="D114" s="358">
        <v>235</v>
      </c>
      <c r="E114" s="358">
        <v>779</v>
      </c>
      <c r="F114" s="567">
        <v>0</v>
      </c>
      <c r="G114" s="350"/>
      <c r="H114" s="350"/>
      <c r="I114" s="350"/>
      <c r="J114" s="350"/>
      <c r="K114" s="350"/>
    </row>
    <row r="115" spans="1:11" ht="20.25" customHeight="1">
      <c r="A115" s="249" t="s">
        <v>76</v>
      </c>
      <c r="B115" s="254">
        <f aca="true" t="shared" si="2" ref="B115:B131">ROUND(C115+D115+E115*2.9+F115*$H$1,0)</f>
        <v>975</v>
      </c>
      <c r="C115" s="357">
        <v>252</v>
      </c>
      <c r="D115" s="358">
        <v>68</v>
      </c>
      <c r="E115" s="358">
        <v>226</v>
      </c>
      <c r="F115" s="567">
        <v>0</v>
      </c>
      <c r="G115" s="350"/>
      <c r="H115" s="350"/>
      <c r="I115" s="350"/>
      <c r="J115" s="350"/>
      <c r="K115" s="350"/>
    </row>
    <row r="116" spans="1:11" ht="20.25" customHeight="1">
      <c r="A116" s="249" t="s">
        <v>47</v>
      </c>
      <c r="B116" s="254">
        <f t="shared" si="2"/>
        <v>7763</v>
      </c>
      <c r="C116" s="357">
        <v>1766</v>
      </c>
      <c r="D116" s="358">
        <v>478</v>
      </c>
      <c r="E116" s="358">
        <v>1903</v>
      </c>
      <c r="F116" s="567">
        <v>0</v>
      </c>
      <c r="G116" s="350"/>
      <c r="H116" s="350"/>
      <c r="I116" s="350"/>
      <c r="J116" s="350"/>
      <c r="K116" s="350"/>
    </row>
    <row r="117" spans="1:11" ht="20.25" customHeight="1">
      <c r="A117" s="243" t="s">
        <v>9</v>
      </c>
      <c r="B117" s="255">
        <f t="shared" si="2"/>
        <v>4876</v>
      </c>
      <c r="C117" s="357">
        <v>1261</v>
      </c>
      <c r="D117" s="358">
        <v>341</v>
      </c>
      <c r="E117" s="358">
        <v>1129</v>
      </c>
      <c r="F117" s="567">
        <v>0</v>
      </c>
      <c r="G117" s="350"/>
      <c r="H117" s="350"/>
      <c r="I117" s="350"/>
      <c r="J117" s="350"/>
      <c r="K117" s="350"/>
    </row>
    <row r="118" spans="1:11" ht="20.25" customHeight="1">
      <c r="A118" s="252" t="s">
        <v>72</v>
      </c>
      <c r="B118" s="254">
        <f t="shared" si="2"/>
        <v>2438</v>
      </c>
      <c r="C118" s="357">
        <v>631</v>
      </c>
      <c r="D118" s="358">
        <v>171</v>
      </c>
      <c r="E118" s="358">
        <v>564</v>
      </c>
      <c r="F118" s="567">
        <v>0</v>
      </c>
      <c r="G118" s="350"/>
      <c r="H118" s="350"/>
      <c r="I118" s="350"/>
      <c r="J118" s="350"/>
      <c r="K118" s="350"/>
    </row>
    <row r="119" spans="1:11" ht="20.25" customHeight="1">
      <c r="A119" s="249" t="s">
        <v>13</v>
      </c>
      <c r="B119" s="256">
        <f t="shared" si="2"/>
        <v>1024</v>
      </c>
      <c r="C119" s="357">
        <v>265</v>
      </c>
      <c r="D119" s="358">
        <v>72</v>
      </c>
      <c r="E119" s="358">
        <v>237</v>
      </c>
      <c r="F119" s="567">
        <v>0</v>
      </c>
      <c r="G119" s="350"/>
      <c r="H119" s="350"/>
      <c r="I119" s="350"/>
      <c r="J119" s="350"/>
      <c r="K119" s="350"/>
    </row>
    <row r="120" spans="1:11" ht="20.25" customHeight="1">
      <c r="A120" s="243" t="s">
        <v>79</v>
      </c>
      <c r="B120" s="232">
        <f t="shared" si="2"/>
        <v>5536</v>
      </c>
      <c r="C120" s="357">
        <f>1433-231</f>
        <v>1202</v>
      </c>
      <c r="D120" s="358">
        <v>388</v>
      </c>
      <c r="E120" s="358">
        <v>1218</v>
      </c>
      <c r="F120" s="497">
        <f>'1.2. Диспансерное наблюдение'!$D$11</f>
        <v>414</v>
      </c>
      <c r="G120" s="350"/>
      <c r="H120" s="350"/>
      <c r="I120" s="350"/>
      <c r="J120" s="350"/>
      <c r="K120" s="350"/>
    </row>
    <row r="121" spans="1:11" ht="20.25" customHeight="1">
      <c r="A121" s="249" t="s">
        <v>71</v>
      </c>
      <c r="B121" s="256">
        <f t="shared" si="2"/>
        <v>571</v>
      </c>
      <c r="C121" s="362">
        <v>0</v>
      </c>
      <c r="D121" s="561">
        <v>0</v>
      </c>
      <c r="E121" s="561">
        <v>197</v>
      </c>
      <c r="F121" s="567">
        <v>0</v>
      </c>
      <c r="G121" s="350"/>
      <c r="H121" s="350"/>
      <c r="I121" s="350"/>
      <c r="J121" s="350"/>
      <c r="K121" s="350"/>
    </row>
    <row r="122" spans="1:11" ht="20.25" customHeight="1">
      <c r="A122" s="243" t="s">
        <v>65</v>
      </c>
      <c r="B122" s="245">
        <f t="shared" si="2"/>
        <v>8091</v>
      </c>
      <c r="C122" s="368">
        <v>1533</v>
      </c>
      <c r="D122" s="358">
        <v>511</v>
      </c>
      <c r="E122" s="358">
        <v>1986</v>
      </c>
      <c r="F122" s="559">
        <f>'1.2. Диспансерное наблюдение'!$D$12</f>
        <v>288</v>
      </c>
      <c r="G122" s="350"/>
      <c r="H122" s="350"/>
      <c r="I122" s="350"/>
      <c r="J122" s="350"/>
      <c r="K122" s="350"/>
    </row>
    <row r="123" spans="1:11" ht="20.25" customHeight="1">
      <c r="A123" s="243" t="s">
        <v>3</v>
      </c>
      <c r="B123" s="232">
        <f t="shared" si="2"/>
        <v>14489</v>
      </c>
      <c r="C123" s="357">
        <v>2622</v>
      </c>
      <c r="D123" s="358">
        <v>1014</v>
      </c>
      <c r="E123" s="358">
        <v>3253</v>
      </c>
      <c r="F123" s="497">
        <f>'1.2. Диспансерное наблюдение'!$D$13</f>
        <v>1419</v>
      </c>
      <c r="G123" s="350"/>
      <c r="H123" s="350"/>
      <c r="I123" s="350"/>
      <c r="J123" s="350"/>
      <c r="K123" s="350"/>
    </row>
    <row r="124" spans="1:11" ht="20.25" customHeight="1">
      <c r="A124" s="244" t="s">
        <v>77</v>
      </c>
      <c r="B124" s="232">
        <f t="shared" si="2"/>
        <v>11918</v>
      </c>
      <c r="C124" s="368">
        <v>2820</v>
      </c>
      <c r="D124" s="358">
        <v>834</v>
      </c>
      <c r="E124" s="358">
        <v>2734</v>
      </c>
      <c r="F124" s="497">
        <f>'1.2. Диспансерное наблюдение'!$D$15</f>
        <v>335</v>
      </c>
      <c r="G124" s="350"/>
      <c r="H124" s="350"/>
      <c r="I124" s="350"/>
      <c r="J124" s="350"/>
      <c r="K124" s="350"/>
    </row>
    <row r="125" spans="1:11" ht="20.25" customHeight="1">
      <c r="A125" s="249" t="s">
        <v>2</v>
      </c>
      <c r="B125" s="232">
        <f t="shared" si="2"/>
        <v>12628</v>
      </c>
      <c r="C125" s="357">
        <v>2656</v>
      </c>
      <c r="D125" s="358">
        <v>884</v>
      </c>
      <c r="E125" s="358">
        <v>2814</v>
      </c>
      <c r="F125" s="497">
        <f>'1.2. Диспансерное наблюдение'!$D$16</f>
        <v>927</v>
      </c>
      <c r="G125" s="350"/>
      <c r="H125" s="350"/>
      <c r="I125" s="350"/>
      <c r="J125" s="350"/>
      <c r="K125" s="350"/>
    </row>
    <row r="126" spans="1:6" ht="20.25" customHeight="1">
      <c r="A126" s="249" t="s">
        <v>10</v>
      </c>
      <c r="B126" s="254">
        <f t="shared" si="2"/>
        <v>975</v>
      </c>
      <c r="C126" s="357">
        <v>252</v>
      </c>
      <c r="D126" s="358">
        <v>68</v>
      </c>
      <c r="E126" s="358">
        <v>226</v>
      </c>
      <c r="F126" s="567">
        <v>0</v>
      </c>
    </row>
    <row r="127" spans="1:6" ht="20.25" customHeight="1">
      <c r="A127" s="249" t="s">
        <v>215</v>
      </c>
      <c r="B127" s="256">
        <f t="shared" si="2"/>
        <v>138466</v>
      </c>
      <c r="C127" s="357">
        <f>C128+C129</f>
        <v>19740</v>
      </c>
      <c r="D127" s="357">
        <f>D128+D129</f>
        <v>10576</v>
      </c>
      <c r="E127" s="463">
        <f>E128+E129</f>
        <v>37293</v>
      </c>
      <c r="F127" s="567">
        <v>0</v>
      </c>
    </row>
    <row r="128" spans="1:6" ht="20.25" customHeight="1">
      <c r="A128" s="291" t="s">
        <v>216</v>
      </c>
      <c r="B128" s="256">
        <f t="shared" si="2"/>
        <v>105465</v>
      </c>
      <c r="C128" s="362">
        <v>12000</v>
      </c>
      <c r="D128" s="363">
        <v>7355</v>
      </c>
      <c r="E128" s="363">
        <v>29693</v>
      </c>
      <c r="F128" s="567">
        <v>0</v>
      </c>
    </row>
    <row r="129" spans="1:6" ht="20.25" customHeight="1">
      <c r="A129" s="291" t="s">
        <v>217</v>
      </c>
      <c r="B129" s="256">
        <f t="shared" si="2"/>
        <v>33001</v>
      </c>
      <c r="C129" s="362">
        <v>7740</v>
      </c>
      <c r="D129" s="363">
        <v>3221</v>
      </c>
      <c r="E129" s="363">
        <v>7600</v>
      </c>
      <c r="F129" s="567">
        <v>0</v>
      </c>
    </row>
    <row r="130" spans="1:6" ht="27.75" customHeight="1">
      <c r="A130" s="235" t="s">
        <v>80</v>
      </c>
      <c r="B130" s="256">
        <f t="shared" si="2"/>
        <v>19599</v>
      </c>
      <c r="C130" s="357">
        <v>15473</v>
      </c>
      <c r="D130" s="358">
        <v>568</v>
      </c>
      <c r="E130" s="358">
        <v>1227</v>
      </c>
      <c r="F130" s="567">
        <v>0</v>
      </c>
    </row>
    <row r="131" spans="1:11" ht="20.25" customHeight="1">
      <c r="A131" s="236" t="s">
        <v>377</v>
      </c>
      <c r="B131" s="255">
        <f t="shared" si="2"/>
        <v>136672</v>
      </c>
      <c r="C131" s="357">
        <v>40849</v>
      </c>
      <c r="D131" s="358">
        <v>10135</v>
      </c>
      <c r="E131" s="358">
        <v>24617</v>
      </c>
      <c r="F131" s="557">
        <f>'1.2. Диспансерное наблюдение'!$D$17</f>
        <v>14299</v>
      </c>
      <c r="H131" s="231"/>
      <c r="I131" s="231"/>
      <c r="J131" s="231"/>
      <c r="K131" s="231"/>
    </row>
    <row r="132" spans="1:11" s="270" customFormat="1" ht="32.25" customHeight="1">
      <c r="A132" s="265" t="s">
        <v>403</v>
      </c>
      <c r="B132" s="266">
        <f>ROUND(C132+D132+E132*2.9,0)</f>
        <v>36904</v>
      </c>
      <c r="C132" s="362">
        <f>C133+C135</f>
        <v>36904</v>
      </c>
      <c r="D132" s="562">
        <v>0</v>
      </c>
      <c r="E132" s="562">
        <v>0</v>
      </c>
      <c r="F132" s="567">
        <v>0</v>
      </c>
      <c r="G132" s="230"/>
      <c r="I132" s="271"/>
      <c r="J132" s="271"/>
      <c r="K132" s="271"/>
    </row>
    <row r="133" spans="1:11" s="270" customFormat="1" ht="29.25" customHeight="1">
      <c r="A133" s="265" t="s">
        <v>379</v>
      </c>
      <c r="B133" s="266">
        <f>ROUND(C133+D133+E133*2.9,0)</f>
        <v>30253</v>
      </c>
      <c r="C133" s="362">
        <f>'1.1. ПРОФ.МЕРОПРИЯТИЯ'!E11</f>
        <v>30253</v>
      </c>
      <c r="D133" s="562">
        <v>0</v>
      </c>
      <c r="E133" s="562">
        <v>0</v>
      </c>
      <c r="F133" s="567">
        <v>0</v>
      </c>
      <c r="G133" s="230"/>
      <c r="I133" s="271"/>
      <c r="J133" s="271"/>
      <c r="K133" s="271"/>
    </row>
    <row r="134" spans="1:11" s="270" customFormat="1" ht="24" customHeight="1">
      <c r="A134" s="265" t="s">
        <v>378</v>
      </c>
      <c r="B134" s="266"/>
      <c r="C134" s="362">
        <f>'1.1. ПРОФ.МЕРОПРИЯТИЯ'!F11</f>
        <v>2074</v>
      </c>
      <c r="D134" s="562">
        <v>0</v>
      </c>
      <c r="E134" s="562">
        <v>0</v>
      </c>
      <c r="F134" s="567">
        <v>0</v>
      </c>
      <c r="G134" s="230"/>
      <c r="I134" s="271"/>
      <c r="J134" s="271"/>
      <c r="K134" s="271"/>
    </row>
    <row r="135" spans="1:11" s="270" customFormat="1" ht="30" customHeight="1">
      <c r="A135" s="265" t="s">
        <v>204</v>
      </c>
      <c r="B135" s="266">
        <f>ROUND(C135+D135+E135*2.9,0)</f>
        <v>6651</v>
      </c>
      <c r="C135" s="362">
        <f>'1.1. ПРОФ.МЕРОПРИЯТИЯ'!I11</f>
        <v>6651</v>
      </c>
      <c r="D135" s="562">
        <v>0</v>
      </c>
      <c r="E135" s="562">
        <v>0</v>
      </c>
      <c r="F135" s="567">
        <v>0</v>
      </c>
      <c r="G135" s="230"/>
      <c r="I135" s="271"/>
      <c r="J135" s="271"/>
      <c r="K135" s="271"/>
    </row>
    <row r="136" spans="1:11" s="270" customFormat="1" ht="15" customHeight="1">
      <c r="A136" s="243" t="s">
        <v>435</v>
      </c>
      <c r="B136" s="232">
        <f aca="true" t="shared" si="3" ref="B136:B144">ROUND(C136+D136+E136*2.9+F136*$H$1,0)</f>
        <v>27174</v>
      </c>
      <c r="C136" s="357">
        <v>6890</v>
      </c>
      <c r="D136" s="358">
        <v>1902</v>
      </c>
      <c r="E136" s="358">
        <v>6283</v>
      </c>
      <c r="F136" s="497">
        <f>'1.2. Диспансерное наблюдение'!$D$18</f>
        <v>161</v>
      </c>
      <c r="G136" s="230"/>
      <c r="I136" s="271"/>
      <c r="J136" s="271"/>
      <c r="K136" s="271"/>
    </row>
    <row r="137" spans="1:11" s="270" customFormat="1" ht="15" customHeight="1">
      <c r="A137" s="243" t="s">
        <v>1</v>
      </c>
      <c r="B137" s="232">
        <f t="shared" si="3"/>
        <v>9592</v>
      </c>
      <c r="C137" s="357">
        <v>2235</v>
      </c>
      <c r="D137" s="358">
        <v>671</v>
      </c>
      <c r="E137" s="358">
        <v>2243</v>
      </c>
      <c r="F137" s="497">
        <f>'1.2. Диспансерное наблюдение'!$D$19</f>
        <v>181</v>
      </c>
      <c r="G137" s="230"/>
      <c r="I137" s="271"/>
      <c r="J137" s="271"/>
      <c r="K137" s="271"/>
    </row>
    <row r="138" spans="1:11" s="270" customFormat="1" ht="15" customHeight="1">
      <c r="A138" s="243" t="s">
        <v>33</v>
      </c>
      <c r="B138" s="232">
        <f t="shared" si="3"/>
        <v>14894</v>
      </c>
      <c r="C138" s="357">
        <v>3503</v>
      </c>
      <c r="D138" s="358">
        <v>1043</v>
      </c>
      <c r="E138" s="358">
        <v>3414</v>
      </c>
      <c r="F138" s="497">
        <f>'1.2. Диспансерное наблюдение'!$D$20</f>
        <v>447</v>
      </c>
      <c r="G138" s="230"/>
      <c r="I138" s="271"/>
      <c r="J138" s="271"/>
      <c r="K138" s="271"/>
    </row>
    <row r="139" spans="1:6" ht="13.5" customHeight="1">
      <c r="A139" s="252" t="s">
        <v>245</v>
      </c>
      <c r="B139" s="254">
        <f t="shared" si="3"/>
        <v>833</v>
      </c>
      <c r="C139" s="357">
        <v>215</v>
      </c>
      <c r="D139" s="358">
        <v>58</v>
      </c>
      <c r="E139" s="358">
        <v>193</v>
      </c>
      <c r="F139" s="567">
        <v>0</v>
      </c>
    </row>
    <row r="140" spans="1:6" ht="13.5" customHeight="1">
      <c r="A140" s="252" t="s">
        <v>5</v>
      </c>
      <c r="B140" s="232">
        <f t="shared" si="3"/>
        <v>11179</v>
      </c>
      <c r="C140" s="357">
        <v>1757</v>
      </c>
      <c r="D140" s="358">
        <v>792</v>
      </c>
      <c r="E140" s="358">
        <v>2559</v>
      </c>
      <c r="F140" s="497">
        <f>'1.2. Диспансерное наблюдение'!$D$21</f>
        <v>1209</v>
      </c>
    </row>
    <row r="141" spans="1:6" ht="27.75" customHeight="1">
      <c r="A141" s="574" t="s">
        <v>502</v>
      </c>
      <c r="B141" s="273">
        <f>ROUND(C141*5+D141+E141*2.9+F141*$H$1,0)</f>
        <v>250</v>
      </c>
      <c r="C141" s="362">
        <v>50</v>
      </c>
      <c r="D141" s="562">
        <v>0</v>
      </c>
      <c r="E141" s="562">
        <v>0</v>
      </c>
      <c r="F141" s="567">
        <v>0</v>
      </c>
    </row>
    <row r="142" spans="1:6" ht="16.5" customHeight="1">
      <c r="A142" s="249" t="s">
        <v>218</v>
      </c>
      <c r="B142" s="256">
        <f t="shared" si="3"/>
        <v>3753</v>
      </c>
      <c r="C142" s="357">
        <f>SUM(C143:C144)</f>
        <v>3753</v>
      </c>
      <c r="D142" s="562">
        <v>0</v>
      </c>
      <c r="E142" s="562">
        <v>0</v>
      </c>
      <c r="F142" s="567">
        <v>0</v>
      </c>
    </row>
    <row r="143" spans="1:7" s="246" customFormat="1" ht="16.5" customHeight="1">
      <c r="A143" s="291" t="s">
        <v>219</v>
      </c>
      <c r="B143" s="256">
        <f t="shared" si="3"/>
        <v>0</v>
      </c>
      <c r="C143" s="496">
        <f>2236-2236</f>
        <v>0</v>
      </c>
      <c r="D143" s="562">
        <v>0</v>
      </c>
      <c r="E143" s="562">
        <v>0</v>
      </c>
      <c r="F143" s="567">
        <v>0</v>
      </c>
      <c r="G143" s="230"/>
    </row>
    <row r="144" spans="1:7" s="246" customFormat="1" ht="16.5" customHeight="1" thickBot="1">
      <c r="A144" s="291" t="s">
        <v>220</v>
      </c>
      <c r="B144" s="256">
        <f t="shared" si="3"/>
        <v>3753</v>
      </c>
      <c r="C144" s="362">
        <v>3753</v>
      </c>
      <c r="D144" s="562">
        <v>0</v>
      </c>
      <c r="E144" s="562">
        <v>0</v>
      </c>
      <c r="F144" s="567">
        <v>0</v>
      </c>
      <c r="G144" s="230"/>
    </row>
    <row r="145" spans="1:11" ht="32.25" customHeight="1" thickBot="1">
      <c r="A145" s="240" t="s">
        <v>417</v>
      </c>
      <c r="B145" s="317">
        <f>SUM(B114:B127,B130:B131,B136:B140,B142)</f>
        <v>436810</v>
      </c>
      <c r="C145" s="317">
        <f>SUM(C114:C127,C130:C131,C136:C140,C142)</f>
        <v>110546</v>
      </c>
      <c r="D145" s="317">
        <f>SUM(D114:D127,D130:D131,D136:D140,D142)</f>
        <v>30809</v>
      </c>
      <c r="E145" s="317">
        <f>SUM(E114:E127,E130:E131,E136:E140,E142)</f>
        <v>95095</v>
      </c>
      <c r="F145" s="317">
        <f>SUM(F114:F127,F130:F131,F136:F140,F142)</f>
        <v>19680</v>
      </c>
      <c r="G145" s="350">
        <v>436810</v>
      </c>
      <c r="H145" s="350">
        <v>110546</v>
      </c>
      <c r="I145" s="352">
        <v>30809</v>
      </c>
      <c r="J145" s="350">
        <v>95095</v>
      </c>
      <c r="K145" s="352">
        <v>19680</v>
      </c>
    </row>
    <row r="146" spans="1:11" ht="20.25" customHeight="1" hidden="1" thickBot="1">
      <c r="A146" s="633"/>
      <c r="B146" s="634"/>
      <c r="C146" s="634"/>
      <c r="D146" s="634"/>
      <c r="E146" s="635"/>
      <c r="F146" s="230"/>
      <c r="G146" s="350">
        <f>G145-B145</f>
        <v>0</v>
      </c>
      <c r="H146" s="350">
        <f>H145-C145</f>
        <v>0</v>
      </c>
      <c r="I146" s="350">
        <f>I145-D145</f>
        <v>0</v>
      </c>
      <c r="J146" s="350">
        <f>J145-E145</f>
        <v>0</v>
      </c>
      <c r="K146" s="350">
        <f>K145-F145</f>
        <v>0</v>
      </c>
    </row>
    <row r="147" spans="1:6" ht="23.25" customHeight="1" hidden="1">
      <c r="A147" s="243"/>
      <c r="B147" s="255"/>
      <c r="C147" s="308"/>
      <c r="D147" s="309"/>
      <c r="E147" s="310"/>
      <c r="F147" s="310"/>
    </row>
    <row r="148" spans="1:6" ht="16.5" customHeight="1" hidden="1" thickBot="1">
      <c r="A148" s="253"/>
      <c r="B148" s="255"/>
      <c r="C148" s="311"/>
      <c r="D148" s="309"/>
      <c r="E148" s="310"/>
      <c r="F148" s="310"/>
    </row>
    <row r="149" spans="1:11" ht="18.75" customHeight="1" hidden="1" thickBot="1">
      <c r="A149" s="240"/>
      <c r="B149" s="242"/>
      <c r="C149" s="317"/>
      <c r="D149" s="317"/>
      <c r="E149" s="318"/>
      <c r="F149" s="318"/>
      <c r="H149" s="270"/>
      <c r="I149" s="270"/>
      <c r="J149" s="270"/>
      <c r="K149" s="270"/>
    </row>
    <row r="150" spans="1:11" ht="20.25" customHeight="1" hidden="1" thickBot="1">
      <c r="A150" s="633"/>
      <c r="B150" s="634"/>
      <c r="C150" s="634"/>
      <c r="D150" s="634"/>
      <c r="E150" s="635"/>
      <c r="F150" s="230"/>
      <c r="H150" s="270"/>
      <c r="I150" s="270"/>
      <c r="J150" s="270"/>
      <c r="K150" s="270"/>
    </row>
    <row r="151" spans="1:11" ht="18.75" customHeight="1" hidden="1">
      <c r="A151" s="252"/>
      <c r="B151" s="254"/>
      <c r="C151" s="329"/>
      <c r="D151" s="330"/>
      <c r="E151" s="331"/>
      <c r="F151" s="331"/>
      <c r="H151" s="270"/>
      <c r="I151" s="270"/>
      <c r="J151" s="270"/>
      <c r="K151" s="270"/>
    </row>
    <row r="152" spans="1:11" s="270" customFormat="1" ht="45" customHeight="1" hidden="1">
      <c r="A152" s="265"/>
      <c r="B152" s="266"/>
      <c r="C152" s="314"/>
      <c r="D152" s="315"/>
      <c r="E152" s="316"/>
      <c r="F152" s="316"/>
      <c r="G152" s="230"/>
      <c r="H152" s="230"/>
      <c r="I152" s="230"/>
      <c r="J152" s="230"/>
      <c r="K152" s="230"/>
    </row>
    <row r="153" spans="1:11" s="270" customFormat="1" ht="27.75" customHeight="1" hidden="1">
      <c r="A153" s="265"/>
      <c r="B153" s="266"/>
      <c r="C153" s="314"/>
      <c r="D153" s="315"/>
      <c r="E153" s="316"/>
      <c r="F153" s="316"/>
      <c r="G153" s="230"/>
      <c r="H153" s="230"/>
      <c r="I153" s="230"/>
      <c r="J153" s="230"/>
      <c r="K153" s="230"/>
    </row>
    <row r="154" spans="1:11" s="270" customFormat="1" ht="33.75" customHeight="1" hidden="1">
      <c r="A154" s="265"/>
      <c r="B154" s="266"/>
      <c r="C154" s="314"/>
      <c r="D154" s="315"/>
      <c r="E154" s="316"/>
      <c r="F154" s="316"/>
      <c r="G154" s="230"/>
      <c r="H154" s="230"/>
      <c r="I154" s="230"/>
      <c r="J154" s="230"/>
      <c r="K154" s="230"/>
    </row>
    <row r="155" spans="1:6" ht="21" customHeight="1" hidden="1">
      <c r="A155" s="252"/>
      <c r="B155" s="254"/>
      <c r="C155" s="329"/>
      <c r="D155" s="330"/>
      <c r="E155" s="331"/>
      <c r="F155" s="331"/>
    </row>
    <row r="156" spans="1:14" s="267" customFormat="1" ht="15.75" hidden="1" thickBot="1">
      <c r="A156" s="265"/>
      <c r="B156" s="266"/>
      <c r="C156" s="314"/>
      <c r="D156" s="315"/>
      <c r="E156" s="316"/>
      <c r="F156" s="316"/>
      <c r="G156" s="230"/>
      <c r="H156" s="230"/>
      <c r="I156" s="230"/>
      <c r="J156" s="230"/>
      <c r="K156" s="230"/>
      <c r="N156" s="268"/>
    </row>
    <row r="157" spans="1:14" s="267" customFormat="1" ht="15.75" hidden="1" thickBot="1">
      <c r="A157" s="265"/>
      <c r="B157" s="266"/>
      <c r="C157" s="314"/>
      <c r="D157" s="315"/>
      <c r="E157" s="316"/>
      <c r="F157" s="316"/>
      <c r="G157" s="230"/>
      <c r="H157" s="230"/>
      <c r="I157" s="230"/>
      <c r="J157" s="230"/>
      <c r="K157" s="230"/>
      <c r="N157" s="268"/>
    </row>
    <row r="158" spans="1:14" s="267" customFormat="1" ht="15.75" hidden="1" thickBot="1">
      <c r="A158" s="265"/>
      <c r="B158" s="266"/>
      <c r="C158" s="314"/>
      <c r="D158" s="315"/>
      <c r="E158" s="316"/>
      <c r="F158" s="316"/>
      <c r="G158" s="230"/>
      <c r="H158" s="230"/>
      <c r="I158" s="230"/>
      <c r="J158" s="230"/>
      <c r="K158" s="230"/>
      <c r="N158" s="268"/>
    </row>
    <row r="159" spans="1:14" s="267" customFormat="1" ht="15.75" hidden="1" thickBot="1">
      <c r="A159" s="265"/>
      <c r="B159" s="266"/>
      <c r="C159" s="314"/>
      <c r="D159" s="315"/>
      <c r="E159" s="316"/>
      <c r="F159" s="316"/>
      <c r="G159" s="350">
        <f>G158-B158</f>
        <v>0</v>
      </c>
      <c r="H159" s="350">
        <f>H158-C158</f>
        <v>0</v>
      </c>
      <c r="I159" s="350">
        <f>I158-D158</f>
        <v>0</v>
      </c>
      <c r="J159" s="350">
        <f>J158-E158</f>
        <v>0</v>
      </c>
      <c r="K159" s="350">
        <f>K158-F158</f>
        <v>0</v>
      </c>
      <c r="N159" s="268"/>
    </row>
    <row r="160" spans="1:6" ht="17.25" customHeight="1" hidden="1">
      <c r="A160" s="252"/>
      <c r="B160" s="254"/>
      <c r="C160" s="329"/>
      <c r="D160" s="327"/>
      <c r="E160" s="328"/>
      <c r="F160" s="328"/>
    </row>
    <row r="161" spans="1:6" ht="14.25" customHeight="1" hidden="1">
      <c r="A161" s="252"/>
      <c r="B161" s="254"/>
      <c r="C161" s="329"/>
      <c r="D161" s="327"/>
      <c r="E161" s="328"/>
      <c r="F161" s="328"/>
    </row>
    <row r="162" spans="1:6" ht="14.25" customHeight="1" hidden="1">
      <c r="A162" s="252"/>
      <c r="B162" s="254"/>
      <c r="C162" s="329"/>
      <c r="D162" s="327"/>
      <c r="E162" s="328"/>
      <c r="F162" s="328"/>
    </row>
    <row r="163" spans="1:6" ht="13.5" customHeight="1" hidden="1">
      <c r="A163" s="252"/>
      <c r="B163" s="254"/>
      <c r="C163" s="329"/>
      <c r="D163" s="327"/>
      <c r="E163" s="328"/>
      <c r="F163" s="328"/>
    </row>
    <row r="164" spans="1:6" ht="13.5" customHeight="1" hidden="1">
      <c r="A164" s="252"/>
      <c r="B164" s="254"/>
      <c r="C164" s="329"/>
      <c r="D164" s="327"/>
      <c r="E164" s="328"/>
      <c r="F164" s="328"/>
    </row>
    <row r="165" spans="1:6" ht="15.75" customHeight="1" hidden="1">
      <c r="A165" s="252"/>
      <c r="B165" s="254"/>
      <c r="C165" s="329"/>
      <c r="D165" s="330"/>
      <c r="E165" s="331"/>
      <c r="F165" s="331"/>
    </row>
    <row r="166" spans="1:6" ht="13.5" customHeight="1" hidden="1">
      <c r="A166" s="243"/>
      <c r="B166" s="254"/>
      <c r="C166" s="326"/>
      <c r="D166" s="327"/>
      <c r="E166" s="328"/>
      <c r="F166" s="328"/>
    </row>
    <row r="167" spans="1:6" ht="13.5" customHeight="1" hidden="1">
      <c r="A167" s="252"/>
      <c r="B167" s="254"/>
      <c r="C167" s="329"/>
      <c r="D167" s="327"/>
      <c r="E167" s="328"/>
      <c r="F167" s="328"/>
    </row>
    <row r="168" spans="1:6" ht="14.25" customHeight="1" hidden="1">
      <c r="A168" s="252"/>
      <c r="B168" s="254"/>
      <c r="C168" s="329"/>
      <c r="D168" s="327"/>
      <c r="E168" s="328"/>
      <c r="F168" s="328"/>
    </row>
    <row r="169" spans="1:6" ht="15" customHeight="1" hidden="1">
      <c r="A169" s="252"/>
      <c r="B169" s="254"/>
      <c r="C169" s="329"/>
      <c r="D169" s="327"/>
      <c r="E169" s="328"/>
      <c r="F169" s="328"/>
    </row>
    <row r="170" spans="1:6" ht="28.5" customHeight="1" hidden="1">
      <c r="A170" s="252"/>
      <c r="B170" s="254"/>
      <c r="C170" s="329"/>
      <c r="D170" s="327"/>
      <c r="E170" s="328"/>
      <c r="F170" s="328"/>
    </row>
    <row r="171" spans="1:7" s="246" customFormat="1" ht="15.75" hidden="1" thickBot="1">
      <c r="A171" s="257"/>
      <c r="B171" s="254"/>
      <c r="C171" s="319"/>
      <c r="D171" s="320"/>
      <c r="E171" s="332"/>
      <c r="F171" s="332"/>
      <c r="G171" s="230"/>
    </row>
    <row r="172" spans="1:8" ht="17.25" customHeight="1" hidden="1" thickBot="1">
      <c r="A172" s="240"/>
      <c r="B172" s="242"/>
      <c r="C172" s="317"/>
      <c r="D172" s="317"/>
      <c r="E172" s="318"/>
      <c r="F172" s="318"/>
      <c r="H172" s="231"/>
    </row>
    <row r="173" spans="1:6" ht="20.25" customHeight="1" hidden="1" thickBot="1">
      <c r="A173" s="633"/>
      <c r="B173" s="634"/>
      <c r="C173" s="634"/>
      <c r="D173" s="634"/>
      <c r="E173" s="635"/>
      <c r="F173" s="230"/>
    </row>
    <row r="174" spans="1:6" ht="18" customHeight="1" hidden="1">
      <c r="A174" s="252"/>
      <c r="B174" s="254"/>
      <c r="C174" s="329"/>
      <c r="D174" s="327"/>
      <c r="E174" s="328"/>
      <c r="F174" s="328"/>
    </row>
    <row r="175" spans="1:11" s="270" customFormat="1" ht="44.25" customHeight="1" hidden="1">
      <c r="A175" s="265"/>
      <c r="B175" s="266"/>
      <c r="C175" s="314"/>
      <c r="D175" s="315"/>
      <c r="E175" s="316"/>
      <c r="F175" s="316"/>
      <c r="G175" s="230"/>
      <c r="I175" s="271"/>
      <c r="J175" s="271"/>
      <c r="K175" s="271"/>
    </row>
    <row r="176" spans="1:11" s="270" customFormat="1" ht="31.5" customHeight="1" hidden="1">
      <c r="A176" s="265"/>
      <c r="B176" s="266"/>
      <c r="C176" s="314"/>
      <c r="D176" s="315"/>
      <c r="E176" s="316"/>
      <c r="F176" s="316"/>
      <c r="G176" s="230"/>
      <c r="I176" s="271"/>
      <c r="J176" s="271"/>
      <c r="K176" s="271"/>
    </row>
    <row r="177" spans="1:11" s="270" customFormat="1" ht="33" customHeight="1" hidden="1">
      <c r="A177" s="265"/>
      <c r="B177" s="266"/>
      <c r="C177" s="314"/>
      <c r="D177" s="315"/>
      <c r="E177" s="316"/>
      <c r="F177" s="316"/>
      <c r="G177" s="230"/>
      <c r="I177" s="271"/>
      <c r="J177" s="271"/>
      <c r="K177" s="271"/>
    </row>
    <row r="178" spans="1:6" ht="18" customHeight="1" hidden="1">
      <c r="A178" s="252"/>
      <c r="B178" s="254"/>
      <c r="C178" s="329"/>
      <c r="D178" s="327"/>
      <c r="E178" s="328"/>
      <c r="F178" s="328"/>
    </row>
    <row r="179" spans="1:14" s="267" customFormat="1" ht="15.75" hidden="1" thickBot="1">
      <c r="A179" s="265"/>
      <c r="B179" s="266"/>
      <c r="C179" s="314"/>
      <c r="D179" s="315"/>
      <c r="E179" s="316"/>
      <c r="F179" s="316"/>
      <c r="G179" s="230"/>
      <c r="H179" s="269"/>
      <c r="I179" s="268"/>
      <c r="J179" s="268"/>
      <c r="K179" s="268"/>
      <c r="N179" s="268"/>
    </row>
    <row r="180" spans="1:14" s="267" customFormat="1" ht="15.75" hidden="1" thickBot="1">
      <c r="A180" s="265"/>
      <c r="B180" s="266"/>
      <c r="C180" s="314"/>
      <c r="D180" s="315"/>
      <c r="E180" s="316"/>
      <c r="F180" s="316"/>
      <c r="G180" s="230"/>
      <c r="H180" s="269"/>
      <c r="I180" s="268"/>
      <c r="J180" s="268"/>
      <c r="K180" s="268"/>
      <c r="N180" s="268"/>
    </row>
    <row r="181" spans="1:14" s="267" customFormat="1" ht="15.75" hidden="1" thickBot="1">
      <c r="A181" s="265"/>
      <c r="B181" s="266"/>
      <c r="C181" s="314"/>
      <c r="D181" s="315"/>
      <c r="E181" s="316"/>
      <c r="F181" s="316"/>
      <c r="G181" s="230"/>
      <c r="H181" s="269"/>
      <c r="I181" s="268"/>
      <c r="J181" s="268"/>
      <c r="K181" s="268"/>
      <c r="N181" s="268"/>
    </row>
    <row r="182" spans="1:14" s="267" customFormat="1" ht="15.75" hidden="1" thickBot="1">
      <c r="A182" s="265"/>
      <c r="B182" s="266"/>
      <c r="C182" s="314"/>
      <c r="D182" s="315"/>
      <c r="E182" s="316"/>
      <c r="F182" s="316"/>
      <c r="G182" s="230"/>
      <c r="H182" s="269"/>
      <c r="I182" s="268"/>
      <c r="J182" s="268"/>
      <c r="K182" s="268"/>
      <c r="N182" s="268"/>
    </row>
    <row r="183" spans="1:6" ht="17.25" customHeight="1" hidden="1">
      <c r="A183" s="252"/>
      <c r="B183" s="254"/>
      <c r="C183" s="329"/>
      <c r="D183" s="327"/>
      <c r="E183" s="328"/>
      <c r="F183" s="328"/>
    </row>
    <row r="184" spans="1:6" ht="17.25" customHeight="1" hidden="1">
      <c r="A184" s="252"/>
      <c r="B184" s="254"/>
      <c r="C184" s="329"/>
      <c r="D184" s="327"/>
      <c r="E184" s="328"/>
      <c r="F184" s="328"/>
    </row>
    <row r="185" spans="1:6" ht="18.75" customHeight="1" hidden="1">
      <c r="A185" s="252"/>
      <c r="B185" s="254"/>
      <c r="C185" s="329"/>
      <c r="D185" s="327"/>
      <c r="E185" s="328"/>
      <c r="F185" s="328"/>
    </row>
    <row r="186" spans="1:6" ht="13.5" customHeight="1" hidden="1">
      <c r="A186" s="252"/>
      <c r="B186" s="254"/>
      <c r="C186" s="329"/>
      <c r="D186" s="327"/>
      <c r="E186" s="328"/>
      <c r="F186" s="328"/>
    </row>
    <row r="187" spans="1:6" ht="13.5" customHeight="1" hidden="1">
      <c r="A187" s="343"/>
      <c r="B187" s="254"/>
      <c r="C187" s="329"/>
      <c r="D187" s="327"/>
      <c r="E187" s="328"/>
      <c r="F187" s="328"/>
    </row>
    <row r="188" spans="1:6" ht="13.5" customHeight="1" hidden="1">
      <c r="A188" s="252"/>
      <c r="B188" s="254"/>
      <c r="C188" s="329"/>
      <c r="D188" s="327"/>
      <c r="E188" s="328"/>
      <c r="F188" s="328"/>
    </row>
    <row r="189" spans="1:6" ht="15.75" customHeight="1" hidden="1">
      <c r="A189" s="252"/>
      <c r="B189" s="254"/>
      <c r="C189" s="329"/>
      <c r="D189" s="330"/>
      <c r="E189" s="331"/>
      <c r="F189" s="331"/>
    </row>
    <row r="190" spans="1:6" ht="15" customHeight="1" hidden="1">
      <c r="A190" s="243"/>
      <c r="B190" s="254"/>
      <c r="C190" s="326"/>
      <c r="D190" s="327"/>
      <c r="E190" s="328"/>
      <c r="F190" s="328"/>
    </row>
    <row r="191" spans="1:6" ht="14.25" customHeight="1" hidden="1">
      <c r="A191" s="252"/>
      <c r="B191" s="254"/>
      <c r="C191" s="329"/>
      <c r="D191" s="327"/>
      <c r="E191" s="328"/>
      <c r="F191" s="328"/>
    </row>
    <row r="192" spans="1:7" s="246" customFormat="1" ht="28.5" customHeight="1" hidden="1" thickBot="1">
      <c r="A192" s="252"/>
      <c r="B192" s="254"/>
      <c r="C192" s="329"/>
      <c r="D192" s="327"/>
      <c r="E192" s="328"/>
      <c r="F192" s="328"/>
      <c r="G192" s="230"/>
    </row>
    <row r="193" spans="1:6" ht="18" customHeight="1" hidden="1" thickBot="1">
      <c r="A193" s="240"/>
      <c r="B193" s="242"/>
      <c r="C193" s="317"/>
      <c r="D193" s="317"/>
      <c r="E193" s="318"/>
      <c r="F193" s="318"/>
    </row>
    <row r="194" spans="1:6" ht="18.75" customHeight="1" hidden="1" thickBot="1">
      <c r="A194" s="642"/>
      <c r="B194" s="643"/>
      <c r="C194" s="643"/>
      <c r="D194" s="643"/>
      <c r="E194" s="644"/>
      <c r="F194" s="230"/>
    </row>
    <row r="195" spans="1:6" ht="18.75" customHeight="1" hidden="1">
      <c r="A195" s="274"/>
      <c r="B195" s="275"/>
      <c r="C195" s="333"/>
      <c r="D195" s="333"/>
      <c r="E195" s="334"/>
      <c r="F195" s="334"/>
    </row>
    <row r="196" spans="1:11" s="270" customFormat="1" ht="46.5" customHeight="1" hidden="1">
      <c r="A196" s="276"/>
      <c r="B196" s="273"/>
      <c r="C196" s="314"/>
      <c r="D196" s="314"/>
      <c r="E196" s="335"/>
      <c r="F196" s="335"/>
      <c r="G196" s="230"/>
      <c r="I196" s="271"/>
      <c r="J196" s="271"/>
      <c r="K196" s="271"/>
    </row>
    <row r="197" spans="1:11" s="270" customFormat="1" ht="29.25" customHeight="1" hidden="1">
      <c r="A197" s="276"/>
      <c r="B197" s="273"/>
      <c r="C197" s="314"/>
      <c r="D197" s="314"/>
      <c r="E197" s="335"/>
      <c r="F197" s="335"/>
      <c r="G197" s="230"/>
      <c r="I197" s="271"/>
      <c r="J197" s="271"/>
      <c r="K197" s="271"/>
    </row>
    <row r="198" spans="1:11" s="270" customFormat="1" ht="28.5" customHeight="1" hidden="1">
      <c r="A198" s="276"/>
      <c r="B198" s="273"/>
      <c r="C198" s="314"/>
      <c r="D198" s="314"/>
      <c r="E198" s="335"/>
      <c r="F198" s="335"/>
      <c r="G198" s="230"/>
      <c r="I198" s="271"/>
      <c r="J198" s="271"/>
      <c r="K198" s="271"/>
    </row>
    <row r="199" spans="1:6" ht="15.75" hidden="1" thickBot="1">
      <c r="A199" s="252"/>
      <c r="B199" s="254"/>
      <c r="C199" s="329"/>
      <c r="D199" s="329"/>
      <c r="E199" s="331"/>
      <c r="F199" s="331"/>
    </row>
    <row r="200" spans="1:14" s="267" customFormat="1" ht="15.75" hidden="1" thickBot="1">
      <c r="A200" s="276"/>
      <c r="B200" s="273"/>
      <c r="C200" s="314"/>
      <c r="D200" s="314"/>
      <c r="E200" s="335"/>
      <c r="F200" s="335"/>
      <c r="G200" s="230"/>
      <c r="H200" s="269"/>
      <c r="I200" s="268"/>
      <c r="J200" s="268"/>
      <c r="K200" s="268"/>
      <c r="N200" s="268"/>
    </row>
    <row r="201" spans="1:14" s="267" customFormat="1" ht="15.75" hidden="1" thickBot="1">
      <c r="A201" s="276"/>
      <c r="B201" s="273"/>
      <c r="C201" s="314"/>
      <c r="D201" s="314"/>
      <c r="E201" s="335"/>
      <c r="F201" s="335"/>
      <c r="G201" s="230"/>
      <c r="H201" s="269"/>
      <c r="I201" s="268"/>
      <c r="J201" s="268"/>
      <c r="K201" s="268"/>
      <c r="N201" s="268"/>
    </row>
    <row r="202" spans="1:14" s="267" customFormat="1" ht="15.75" hidden="1" thickBot="1">
      <c r="A202" s="276"/>
      <c r="B202" s="273"/>
      <c r="C202" s="314"/>
      <c r="D202" s="314"/>
      <c r="E202" s="335"/>
      <c r="F202" s="335"/>
      <c r="G202" s="230"/>
      <c r="H202" s="269"/>
      <c r="I202" s="268"/>
      <c r="J202" s="268"/>
      <c r="K202" s="268"/>
      <c r="N202" s="268"/>
    </row>
    <row r="203" spans="1:14" s="267" customFormat="1" ht="15.75" hidden="1" thickBot="1">
      <c r="A203" s="276"/>
      <c r="B203" s="273"/>
      <c r="C203" s="314"/>
      <c r="D203" s="314"/>
      <c r="E203" s="335"/>
      <c r="F203" s="335"/>
      <c r="G203" s="230"/>
      <c r="H203" s="269"/>
      <c r="I203" s="268"/>
      <c r="J203" s="268"/>
      <c r="K203" s="268"/>
      <c r="N203" s="268"/>
    </row>
    <row r="204" spans="1:6" ht="18.75" customHeight="1" hidden="1">
      <c r="A204" s="252"/>
      <c r="B204" s="254"/>
      <c r="C204" s="329"/>
      <c r="D204" s="329"/>
      <c r="E204" s="331"/>
      <c r="F204" s="331"/>
    </row>
    <row r="205" spans="1:6" ht="18.75" customHeight="1" hidden="1">
      <c r="A205" s="252"/>
      <c r="B205" s="254"/>
      <c r="C205" s="329"/>
      <c r="D205" s="329"/>
      <c r="E205" s="331"/>
      <c r="F205" s="331"/>
    </row>
    <row r="206" spans="1:6" ht="18.75" customHeight="1" hidden="1">
      <c r="A206" s="252"/>
      <c r="B206" s="254"/>
      <c r="C206" s="329"/>
      <c r="D206" s="329"/>
      <c r="E206" s="331"/>
      <c r="F206" s="331"/>
    </row>
    <row r="207" spans="1:6" ht="18.75" customHeight="1" hidden="1">
      <c r="A207" s="252"/>
      <c r="B207" s="254"/>
      <c r="C207" s="329"/>
      <c r="D207" s="329"/>
      <c r="E207" s="331"/>
      <c r="F207" s="331"/>
    </row>
    <row r="208" spans="1:6" ht="18.75" customHeight="1" hidden="1">
      <c r="A208" s="252"/>
      <c r="B208" s="254"/>
      <c r="C208" s="329"/>
      <c r="D208" s="329"/>
      <c r="E208" s="331"/>
      <c r="F208" s="331"/>
    </row>
    <row r="209" spans="1:6" ht="33.75" customHeight="1" hidden="1">
      <c r="A209" s="252"/>
      <c r="B209" s="254"/>
      <c r="C209" s="329"/>
      <c r="D209" s="329"/>
      <c r="E209" s="331"/>
      <c r="F209" s="331"/>
    </row>
    <row r="210" spans="1:6" ht="18.75" customHeight="1" hidden="1" thickBot="1">
      <c r="A210" s="277"/>
      <c r="B210" s="278"/>
      <c r="C210" s="325"/>
      <c r="D210" s="325"/>
      <c r="E210" s="332"/>
      <c r="F210" s="332"/>
    </row>
    <row r="211" spans="1:6" ht="18.75" customHeight="1" hidden="1" thickBot="1">
      <c r="A211" s="240"/>
      <c r="B211" s="242"/>
      <c r="C211" s="317"/>
      <c r="D211" s="317"/>
      <c r="E211" s="318"/>
      <c r="F211" s="318"/>
    </row>
    <row r="212" spans="1:6" ht="18.75" customHeight="1" hidden="1" thickBot="1">
      <c r="A212" s="633"/>
      <c r="B212" s="634"/>
      <c r="C212" s="634"/>
      <c r="D212" s="634"/>
      <c r="E212" s="635"/>
      <c r="F212" s="230"/>
    </row>
    <row r="213" spans="1:6" ht="13.5" customHeight="1" hidden="1">
      <c r="A213" s="234"/>
      <c r="B213" s="254"/>
      <c r="C213" s="326"/>
      <c r="D213" s="327"/>
      <c r="E213" s="328"/>
      <c r="F213" s="328"/>
    </row>
    <row r="214" spans="1:11" s="270" customFormat="1" ht="44.25" customHeight="1" hidden="1">
      <c r="A214" s="265"/>
      <c r="B214" s="266"/>
      <c r="C214" s="314"/>
      <c r="D214" s="315"/>
      <c r="E214" s="316"/>
      <c r="F214" s="316"/>
      <c r="G214" s="230"/>
      <c r="I214" s="271"/>
      <c r="J214" s="271"/>
      <c r="K214" s="271"/>
    </row>
    <row r="215" spans="1:11" s="270" customFormat="1" ht="31.5" customHeight="1" hidden="1">
      <c r="A215" s="265"/>
      <c r="B215" s="266"/>
      <c r="C215" s="314"/>
      <c r="D215" s="315"/>
      <c r="E215" s="316"/>
      <c r="F215" s="316"/>
      <c r="G215" s="230"/>
      <c r="I215" s="271"/>
      <c r="J215" s="271"/>
      <c r="K215" s="271"/>
    </row>
    <row r="216" spans="1:11" s="270" customFormat="1" ht="33" customHeight="1" hidden="1">
      <c r="A216" s="265"/>
      <c r="B216" s="266"/>
      <c r="C216" s="314"/>
      <c r="D216" s="315"/>
      <c r="E216" s="316"/>
      <c r="F216" s="316"/>
      <c r="G216" s="230"/>
      <c r="I216" s="271"/>
      <c r="J216" s="271"/>
      <c r="K216" s="271"/>
    </row>
    <row r="217" spans="1:6" ht="19.5" customHeight="1" hidden="1">
      <c r="A217" s="235"/>
      <c r="B217" s="254"/>
      <c r="C217" s="329"/>
      <c r="D217" s="327"/>
      <c r="E217" s="328"/>
      <c r="F217" s="328"/>
    </row>
    <row r="218" spans="1:6" ht="19.5" customHeight="1" hidden="1">
      <c r="A218" s="235"/>
      <c r="B218" s="254"/>
      <c r="C218" s="329"/>
      <c r="D218" s="327"/>
      <c r="E218" s="328"/>
      <c r="F218" s="328"/>
    </row>
    <row r="219" spans="1:14" s="267" customFormat="1" ht="15.75" hidden="1" thickBot="1">
      <c r="A219" s="265"/>
      <c r="B219" s="266"/>
      <c r="C219" s="314"/>
      <c r="D219" s="315"/>
      <c r="E219" s="316"/>
      <c r="F219" s="316"/>
      <c r="G219" s="230"/>
      <c r="H219" s="269"/>
      <c r="I219" s="268"/>
      <c r="J219" s="268"/>
      <c r="K219" s="268"/>
      <c r="N219" s="268"/>
    </row>
    <row r="220" spans="1:14" s="267" customFormat="1" ht="15.75" hidden="1" thickBot="1">
      <c r="A220" s="265"/>
      <c r="B220" s="266"/>
      <c r="C220" s="314"/>
      <c r="D220" s="315"/>
      <c r="E220" s="316"/>
      <c r="F220" s="316"/>
      <c r="G220" s="230"/>
      <c r="H220" s="269"/>
      <c r="I220" s="268"/>
      <c r="J220" s="268"/>
      <c r="K220" s="268"/>
      <c r="N220" s="268"/>
    </row>
    <row r="221" spans="1:14" s="267" customFormat="1" ht="15.75" hidden="1" thickBot="1">
      <c r="A221" s="265"/>
      <c r="B221" s="266"/>
      <c r="C221" s="314"/>
      <c r="D221" s="315"/>
      <c r="E221" s="316"/>
      <c r="F221" s="316"/>
      <c r="G221" s="230"/>
      <c r="H221" s="269"/>
      <c r="I221" s="268"/>
      <c r="J221" s="268"/>
      <c r="K221" s="268"/>
      <c r="N221" s="268"/>
    </row>
    <row r="222" spans="1:14" s="267" customFormat="1" ht="15.75" hidden="1" thickBot="1">
      <c r="A222" s="265"/>
      <c r="B222" s="266"/>
      <c r="C222" s="314"/>
      <c r="D222" s="315"/>
      <c r="E222" s="316"/>
      <c r="F222" s="316"/>
      <c r="G222" s="230"/>
      <c r="H222" s="269"/>
      <c r="I222" s="268"/>
      <c r="J222" s="268"/>
      <c r="K222" s="268"/>
      <c r="N222" s="268"/>
    </row>
    <row r="223" spans="1:6" ht="13.5" customHeight="1" hidden="1">
      <c r="A223" s="235"/>
      <c r="B223" s="254"/>
      <c r="C223" s="329"/>
      <c r="D223" s="327"/>
      <c r="E223" s="328"/>
      <c r="F223" s="328"/>
    </row>
    <row r="224" spans="1:6" ht="13.5" customHeight="1" hidden="1">
      <c r="A224" s="252"/>
      <c r="B224" s="254"/>
      <c r="C224" s="329"/>
      <c r="D224" s="327"/>
      <c r="E224" s="328"/>
      <c r="F224" s="328"/>
    </row>
    <row r="225" spans="1:6" ht="13.5" customHeight="1" hidden="1">
      <c r="A225" s="252"/>
      <c r="B225" s="254"/>
      <c r="C225" s="329"/>
      <c r="D225" s="327"/>
      <c r="E225" s="328"/>
      <c r="F225" s="328"/>
    </row>
    <row r="226" spans="1:7" s="260" customFormat="1" ht="12.75" customHeight="1" hidden="1">
      <c r="A226" s="258"/>
      <c r="B226" s="259"/>
      <c r="C226" s="329"/>
      <c r="D226" s="327"/>
      <c r="E226" s="328"/>
      <c r="F226" s="328"/>
      <c r="G226" s="230"/>
    </row>
    <row r="227" spans="1:6" ht="17.25" customHeight="1" hidden="1">
      <c r="A227" s="252"/>
      <c r="B227" s="254"/>
      <c r="C227" s="329"/>
      <c r="D227" s="327"/>
      <c r="E227" s="328"/>
      <c r="F227" s="328"/>
    </row>
    <row r="228" spans="1:6" ht="27.75" customHeight="1" hidden="1">
      <c r="A228" s="235"/>
      <c r="B228" s="254"/>
      <c r="C228" s="329"/>
      <c r="D228" s="327"/>
      <c r="E228" s="328"/>
      <c r="F228" s="328"/>
    </row>
    <row r="229" spans="1:6" ht="15.75" hidden="1" thickBot="1">
      <c r="A229" s="243"/>
      <c r="B229" s="254"/>
      <c r="C229" s="329"/>
      <c r="D229" s="327"/>
      <c r="E229" s="328"/>
      <c r="F229" s="328"/>
    </row>
    <row r="230" spans="1:6" ht="21" customHeight="1" hidden="1" thickBot="1">
      <c r="A230" s="240"/>
      <c r="B230" s="242"/>
      <c r="C230" s="317"/>
      <c r="D230" s="317"/>
      <c r="E230" s="318"/>
      <c r="F230" s="318"/>
    </row>
    <row r="231" spans="1:6" ht="17.25" customHeight="1" hidden="1" thickBot="1">
      <c r="A231" s="633"/>
      <c r="B231" s="634"/>
      <c r="C231" s="634"/>
      <c r="D231" s="634"/>
      <c r="E231" s="635"/>
      <c r="F231" s="230"/>
    </row>
    <row r="232" spans="1:6" ht="13.5" customHeight="1" hidden="1">
      <c r="A232" s="252"/>
      <c r="B232" s="254"/>
      <c r="C232" s="329"/>
      <c r="D232" s="327"/>
      <c r="E232" s="328"/>
      <c r="F232" s="328"/>
    </row>
    <row r="233" spans="1:11" s="270" customFormat="1" ht="42" customHeight="1" hidden="1">
      <c r="A233" s="265"/>
      <c r="B233" s="266"/>
      <c r="C233" s="314"/>
      <c r="D233" s="315"/>
      <c r="E233" s="316"/>
      <c r="F233" s="316"/>
      <c r="G233" s="230"/>
      <c r="I233" s="271"/>
      <c r="J233" s="271"/>
      <c r="K233" s="271"/>
    </row>
    <row r="234" spans="1:11" s="270" customFormat="1" ht="31.5" customHeight="1" hidden="1">
      <c r="A234" s="265"/>
      <c r="B234" s="266"/>
      <c r="C234" s="314"/>
      <c r="D234" s="315"/>
      <c r="E234" s="316"/>
      <c r="F234" s="316"/>
      <c r="G234" s="230"/>
      <c r="I234" s="271"/>
      <c r="J234" s="271"/>
      <c r="K234" s="271"/>
    </row>
    <row r="235" spans="1:11" s="270" customFormat="1" ht="33" customHeight="1" hidden="1">
      <c r="A235" s="265"/>
      <c r="B235" s="266"/>
      <c r="C235" s="314"/>
      <c r="D235" s="315"/>
      <c r="E235" s="316"/>
      <c r="F235" s="316"/>
      <c r="G235" s="230"/>
      <c r="I235" s="271"/>
      <c r="J235" s="271"/>
      <c r="K235" s="271"/>
    </row>
    <row r="236" spans="1:6" ht="19.5" customHeight="1" hidden="1">
      <c r="A236" s="236"/>
      <c r="B236" s="254"/>
      <c r="C236" s="329"/>
      <c r="D236" s="327"/>
      <c r="E236" s="328"/>
      <c r="F236" s="328"/>
    </row>
    <row r="237" spans="1:14" s="267" customFormat="1" ht="15.75" hidden="1" thickBot="1">
      <c r="A237" s="265"/>
      <c r="B237" s="266"/>
      <c r="C237" s="314"/>
      <c r="D237" s="315"/>
      <c r="E237" s="316"/>
      <c r="F237" s="316"/>
      <c r="G237" s="230"/>
      <c r="H237" s="269"/>
      <c r="I237" s="268"/>
      <c r="J237" s="268"/>
      <c r="K237" s="268"/>
      <c r="N237" s="268"/>
    </row>
    <row r="238" spans="1:14" s="267" customFormat="1" ht="15.75" hidden="1" thickBot="1">
      <c r="A238" s="265"/>
      <c r="B238" s="266"/>
      <c r="C238" s="314"/>
      <c r="D238" s="315"/>
      <c r="E238" s="316"/>
      <c r="F238" s="316"/>
      <c r="G238" s="230"/>
      <c r="H238" s="269"/>
      <c r="I238" s="268"/>
      <c r="J238" s="268"/>
      <c r="K238" s="268"/>
      <c r="N238" s="268"/>
    </row>
    <row r="239" spans="1:14" s="267" customFormat="1" ht="15.75" hidden="1" thickBot="1">
      <c r="A239" s="265"/>
      <c r="B239" s="266"/>
      <c r="C239" s="314"/>
      <c r="D239" s="315"/>
      <c r="E239" s="316"/>
      <c r="F239" s="316"/>
      <c r="G239" s="230"/>
      <c r="H239" s="269"/>
      <c r="I239" s="268"/>
      <c r="J239" s="268"/>
      <c r="K239" s="268"/>
      <c r="N239" s="268"/>
    </row>
    <row r="240" spans="1:14" s="267" customFormat="1" ht="15.75" hidden="1" thickBot="1">
      <c r="A240" s="265"/>
      <c r="B240" s="266"/>
      <c r="C240" s="314"/>
      <c r="D240" s="315"/>
      <c r="E240" s="316"/>
      <c r="F240" s="316"/>
      <c r="G240" s="230"/>
      <c r="H240" s="269"/>
      <c r="I240" s="268"/>
      <c r="J240" s="268"/>
      <c r="K240" s="268"/>
      <c r="N240" s="268"/>
    </row>
    <row r="241" spans="1:6" ht="15.75" customHeight="1" hidden="1">
      <c r="A241" s="252"/>
      <c r="B241" s="254"/>
      <c r="C241" s="329"/>
      <c r="D241" s="327"/>
      <c r="E241" s="328"/>
      <c r="F241" s="328"/>
    </row>
    <row r="242" spans="1:6" ht="13.5" customHeight="1" hidden="1">
      <c r="A242" s="252"/>
      <c r="B242" s="254"/>
      <c r="C242" s="329"/>
      <c r="D242" s="327"/>
      <c r="E242" s="328"/>
      <c r="F242" s="328"/>
    </row>
    <row r="243" spans="1:6" ht="13.5" customHeight="1" hidden="1">
      <c r="A243" s="252"/>
      <c r="B243" s="254"/>
      <c r="C243" s="329"/>
      <c r="D243" s="327"/>
      <c r="E243" s="328"/>
      <c r="F243" s="328"/>
    </row>
    <row r="244" spans="1:6" ht="13.5" customHeight="1" hidden="1">
      <c r="A244" s="252"/>
      <c r="B244" s="254"/>
      <c r="C244" s="329"/>
      <c r="D244" s="327"/>
      <c r="E244" s="328"/>
      <c r="F244" s="328"/>
    </row>
    <row r="245" spans="1:6" ht="13.5" customHeight="1" hidden="1">
      <c r="A245" s="252"/>
      <c r="B245" s="254"/>
      <c r="C245" s="329"/>
      <c r="D245" s="327"/>
      <c r="E245" s="328"/>
      <c r="F245" s="328"/>
    </row>
    <row r="246" spans="1:6" ht="14.25" customHeight="1" hidden="1">
      <c r="A246" s="252"/>
      <c r="B246" s="254"/>
      <c r="C246" s="329"/>
      <c r="D246" s="327"/>
      <c r="E246" s="328"/>
      <c r="F246" s="328"/>
    </row>
    <row r="247" spans="1:6" ht="13.5" customHeight="1" hidden="1">
      <c r="A247" s="243"/>
      <c r="B247" s="254"/>
      <c r="C247" s="326"/>
      <c r="D247" s="327"/>
      <c r="E247" s="328"/>
      <c r="F247" s="328"/>
    </row>
    <row r="248" spans="1:6" ht="13.5" customHeight="1" hidden="1">
      <c r="A248" s="252"/>
      <c r="B248" s="254"/>
      <c r="C248" s="329"/>
      <c r="D248" s="327"/>
      <c r="E248" s="328"/>
      <c r="F248" s="328"/>
    </row>
    <row r="249" spans="1:6" ht="14.25" customHeight="1" hidden="1">
      <c r="A249" s="252"/>
      <c r="B249" s="254"/>
      <c r="C249" s="329"/>
      <c r="D249" s="327"/>
      <c r="E249" s="328"/>
      <c r="F249" s="328"/>
    </row>
    <row r="250" spans="1:6" ht="18.75" customHeight="1" hidden="1">
      <c r="A250" s="252"/>
      <c r="B250" s="254"/>
      <c r="C250" s="329"/>
      <c r="D250" s="327"/>
      <c r="E250" s="328"/>
      <c r="F250" s="328"/>
    </row>
    <row r="251" spans="1:6" ht="15.75" hidden="1" thickBot="1">
      <c r="A251" s="252"/>
      <c r="B251" s="254"/>
      <c r="C251" s="329"/>
      <c r="D251" s="327"/>
      <c r="E251" s="328"/>
      <c r="F251" s="328"/>
    </row>
    <row r="252" spans="1:6" ht="20.25" customHeight="1" hidden="1" thickBot="1">
      <c r="A252" s="240"/>
      <c r="B252" s="242"/>
      <c r="C252" s="317"/>
      <c r="D252" s="317"/>
      <c r="E252" s="318"/>
      <c r="F252" s="318"/>
    </row>
    <row r="253" spans="1:6" ht="18.75" customHeight="1" hidden="1" thickBot="1">
      <c r="A253" s="633"/>
      <c r="B253" s="634"/>
      <c r="C253" s="634"/>
      <c r="D253" s="634"/>
      <c r="E253" s="635"/>
      <c r="F253" s="230"/>
    </row>
    <row r="254" spans="1:6" ht="20.25" customHeight="1" hidden="1">
      <c r="A254" s="252"/>
      <c r="B254" s="254"/>
      <c r="C254" s="329"/>
      <c r="D254" s="327"/>
      <c r="E254" s="328"/>
      <c r="F254" s="328"/>
    </row>
    <row r="255" spans="1:11" s="270" customFormat="1" ht="45" customHeight="1" hidden="1">
      <c r="A255" s="265"/>
      <c r="B255" s="266"/>
      <c r="C255" s="314"/>
      <c r="D255" s="315"/>
      <c r="E255" s="316"/>
      <c r="F255" s="316"/>
      <c r="G255" s="230"/>
      <c r="I255" s="271"/>
      <c r="J255" s="271"/>
      <c r="K255" s="271"/>
    </row>
    <row r="256" spans="1:11" s="270" customFormat="1" ht="29.25" customHeight="1" hidden="1">
      <c r="A256" s="265"/>
      <c r="B256" s="266"/>
      <c r="C256" s="314"/>
      <c r="D256" s="315"/>
      <c r="E256" s="316"/>
      <c r="F256" s="316"/>
      <c r="G256" s="230"/>
      <c r="I256" s="271"/>
      <c r="J256" s="271"/>
      <c r="K256" s="271"/>
    </row>
    <row r="257" spans="1:11" s="270" customFormat="1" ht="29.25" customHeight="1" hidden="1">
      <c r="A257" s="265"/>
      <c r="B257" s="266"/>
      <c r="C257" s="314"/>
      <c r="D257" s="315"/>
      <c r="E257" s="316"/>
      <c r="F257" s="316"/>
      <c r="G257" s="230"/>
      <c r="I257" s="271"/>
      <c r="J257" s="271"/>
      <c r="K257" s="271"/>
    </row>
    <row r="258" spans="1:6" ht="20.25" customHeight="1" hidden="1">
      <c r="A258" s="252"/>
      <c r="B258" s="254"/>
      <c r="C258" s="329"/>
      <c r="D258" s="327"/>
      <c r="E258" s="328"/>
      <c r="F258" s="328"/>
    </row>
    <row r="259" spans="1:14" s="267" customFormat="1" ht="15.75" hidden="1" thickBot="1">
      <c r="A259" s="265"/>
      <c r="B259" s="266"/>
      <c r="C259" s="314"/>
      <c r="D259" s="315"/>
      <c r="E259" s="316"/>
      <c r="F259" s="316"/>
      <c r="G259" s="230"/>
      <c r="H259" s="269"/>
      <c r="I259" s="268"/>
      <c r="J259" s="268"/>
      <c r="K259" s="268"/>
      <c r="N259" s="268"/>
    </row>
    <row r="260" spans="1:14" s="267" customFormat="1" ht="15.75" hidden="1" thickBot="1">
      <c r="A260" s="265"/>
      <c r="B260" s="266"/>
      <c r="C260" s="314"/>
      <c r="D260" s="315"/>
      <c r="E260" s="316"/>
      <c r="F260" s="316"/>
      <c r="G260" s="230"/>
      <c r="H260" s="269"/>
      <c r="I260" s="268"/>
      <c r="J260" s="268"/>
      <c r="K260" s="268"/>
      <c r="N260" s="268"/>
    </row>
    <row r="261" spans="1:14" s="267" customFormat="1" ht="15.75" hidden="1" thickBot="1">
      <c r="A261" s="265"/>
      <c r="B261" s="266"/>
      <c r="C261" s="314"/>
      <c r="D261" s="315"/>
      <c r="E261" s="316"/>
      <c r="F261" s="316"/>
      <c r="G261" s="230"/>
      <c r="H261" s="269"/>
      <c r="I261" s="268"/>
      <c r="J261" s="268"/>
      <c r="K261" s="268"/>
      <c r="N261" s="268"/>
    </row>
    <row r="262" spans="1:14" s="267" customFormat="1" ht="15.75" hidden="1" thickBot="1">
      <c r="A262" s="265"/>
      <c r="B262" s="266"/>
      <c r="C262" s="314"/>
      <c r="D262" s="315"/>
      <c r="E262" s="316"/>
      <c r="F262" s="316"/>
      <c r="G262" s="230"/>
      <c r="H262" s="269"/>
      <c r="I262" s="268"/>
      <c r="J262" s="268"/>
      <c r="K262" s="268"/>
      <c r="N262" s="268"/>
    </row>
    <row r="263" spans="1:6" ht="13.5" customHeight="1" hidden="1">
      <c r="A263" s="252"/>
      <c r="B263" s="254"/>
      <c r="C263" s="329"/>
      <c r="D263" s="327"/>
      <c r="E263" s="328"/>
      <c r="F263" s="328"/>
    </row>
    <row r="264" spans="1:6" ht="13.5" customHeight="1" hidden="1">
      <c r="A264" s="252"/>
      <c r="B264" s="254"/>
      <c r="C264" s="329"/>
      <c r="D264" s="327"/>
      <c r="E264" s="328"/>
      <c r="F264" s="328"/>
    </row>
    <row r="265" spans="1:6" ht="13.5" customHeight="1" hidden="1">
      <c r="A265" s="252"/>
      <c r="B265" s="254"/>
      <c r="C265" s="329"/>
      <c r="D265" s="327"/>
      <c r="E265" s="328"/>
      <c r="F265" s="328"/>
    </row>
    <row r="266" spans="1:6" ht="13.5" customHeight="1" hidden="1">
      <c r="A266" s="252"/>
      <c r="B266" s="254"/>
      <c r="C266" s="329"/>
      <c r="D266" s="327"/>
      <c r="E266" s="328"/>
      <c r="F266" s="328"/>
    </row>
    <row r="267" spans="1:6" ht="13.5" customHeight="1" hidden="1">
      <c r="A267" s="252"/>
      <c r="B267" s="254"/>
      <c r="C267" s="329"/>
      <c r="D267" s="327"/>
      <c r="E267" s="328"/>
      <c r="F267" s="328"/>
    </row>
    <row r="268" spans="1:6" ht="15" customHeight="1" hidden="1">
      <c r="A268" s="252"/>
      <c r="B268" s="254"/>
      <c r="C268" s="329"/>
      <c r="D268" s="327"/>
      <c r="E268" s="328"/>
      <c r="F268" s="328"/>
    </row>
    <row r="269" spans="1:6" ht="16.5" customHeight="1" hidden="1">
      <c r="A269" s="252"/>
      <c r="B269" s="254"/>
      <c r="C269" s="329"/>
      <c r="D269" s="327"/>
      <c r="E269" s="328"/>
      <c r="F269" s="328"/>
    </row>
    <row r="270" spans="1:6" ht="29.25" customHeight="1" hidden="1">
      <c r="A270" s="243"/>
      <c r="B270" s="254"/>
      <c r="C270" s="326"/>
      <c r="D270" s="327"/>
      <c r="E270" s="328"/>
      <c r="F270" s="328"/>
    </row>
    <row r="271" spans="1:6" ht="15.75" hidden="1" thickBot="1">
      <c r="A271" s="261"/>
      <c r="B271" s="254"/>
      <c r="C271" s="329"/>
      <c r="D271" s="327"/>
      <c r="E271" s="328"/>
      <c r="F271" s="328"/>
    </row>
    <row r="272" spans="1:6" ht="24" customHeight="1" hidden="1" thickBot="1">
      <c r="A272" s="240"/>
      <c r="B272" s="242"/>
      <c r="C272" s="317"/>
      <c r="D272" s="317"/>
      <c r="E272" s="318"/>
      <c r="F272" s="318"/>
    </row>
    <row r="273" spans="1:6" ht="18" customHeight="1" hidden="1" thickBot="1">
      <c r="A273" s="633"/>
      <c r="B273" s="634"/>
      <c r="C273" s="634"/>
      <c r="D273" s="634"/>
      <c r="E273" s="635"/>
      <c r="F273" s="230"/>
    </row>
    <row r="274" spans="1:6" ht="13.5" customHeight="1" hidden="1">
      <c r="A274" s="252"/>
      <c r="B274" s="254"/>
      <c r="C274" s="336"/>
      <c r="D274" s="337"/>
      <c r="E274" s="338"/>
      <c r="F274" s="338"/>
    </row>
    <row r="275" spans="1:11" s="270" customFormat="1" ht="46.5" customHeight="1" hidden="1">
      <c r="A275" s="265"/>
      <c r="B275" s="266"/>
      <c r="C275" s="314"/>
      <c r="D275" s="315"/>
      <c r="E275" s="316"/>
      <c r="F275" s="316"/>
      <c r="G275" s="230"/>
      <c r="I275" s="271"/>
      <c r="J275" s="271"/>
      <c r="K275" s="271"/>
    </row>
    <row r="276" spans="1:11" s="270" customFormat="1" ht="31.5" customHeight="1" hidden="1">
      <c r="A276" s="265"/>
      <c r="B276" s="266"/>
      <c r="C276" s="314"/>
      <c r="D276" s="315"/>
      <c r="E276" s="316"/>
      <c r="F276" s="316"/>
      <c r="G276" s="230"/>
      <c r="I276" s="271"/>
      <c r="J276" s="271"/>
      <c r="K276" s="271"/>
    </row>
    <row r="277" spans="1:11" s="270" customFormat="1" ht="33" customHeight="1" hidden="1">
      <c r="A277" s="265"/>
      <c r="B277" s="266"/>
      <c r="C277" s="314"/>
      <c r="D277" s="315"/>
      <c r="E277" s="316"/>
      <c r="F277" s="316"/>
      <c r="G277" s="230"/>
      <c r="I277" s="271"/>
      <c r="J277" s="271"/>
      <c r="K277" s="271"/>
    </row>
    <row r="278" spans="1:6" ht="16.5" customHeight="1" hidden="1">
      <c r="A278" s="236"/>
      <c r="B278" s="254"/>
      <c r="C278" s="336"/>
      <c r="D278" s="327"/>
      <c r="E278" s="328"/>
      <c r="F278" s="328"/>
    </row>
    <row r="279" spans="1:14" s="267" customFormat="1" ht="15.75" hidden="1" thickBot="1">
      <c r="A279" s="265"/>
      <c r="B279" s="266"/>
      <c r="C279" s="314"/>
      <c r="D279" s="315"/>
      <c r="E279" s="316"/>
      <c r="F279" s="316"/>
      <c r="G279" s="230"/>
      <c r="H279" s="269"/>
      <c r="I279" s="268"/>
      <c r="J279" s="268"/>
      <c r="K279" s="268"/>
      <c r="N279" s="268"/>
    </row>
    <row r="280" spans="1:14" s="267" customFormat="1" ht="15.75" hidden="1" thickBot="1">
      <c r="A280" s="265"/>
      <c r="B280" s="266"/>
      <c r="C280" s="314"/>
      <c r="D280" s="315"/>
      <c r="E280" s="316"/>
      <c r="F280" s="316"/>
      <c r="G280" s="230"/>
      <c r="H280" s="269"/>
      <c r="I280" s="268"/>
      <c r="J280" s="268"/>
      <c r="K280" s="268"/>
      <c r="N280" s="268"/>
    </row>
    <row r="281" spans="1:14" s="267" customFormat="1" ht="15.75" hidden="1" thickBot="1">
      <c r="A281" s="265"/>
      <c r="B281" s="266"/>
      <c r="C281" s="314"/>
      <c r="D281" s="315"/>
      <c r="E281" s="316"/>
      <c r="F281" s="316"/>
      <c r="G281" s="230"/>
      <c r="H281" s="269"/>
      <c r="I281" s="268"/>
      <c r="J281" s="268"/>
      <c r="K281" s="268"/>
      <c r="N281" s="268"/>
    </row>
    <row r="282" spans="1:14" s="267" customFormat="1" ht="15.75" hidden="1" thickBot="1">
      <c r="A282" s="265"/>
      <c r="B282" s="266"/>
      <c r="C282" s="314"/>
      <c r="D282" s="315"/>
      <c r="E282" s="316"/>
      <c r="F282" s="316"/>
      <c r="G282" s="230"/>
      <c r="H282" s="269"/>
      <c r="I282" s="268"/>
      <c r="J282" s="268"/>
      <c r="K282" s="268"/>
      <c r="N282" s="268"/>
    </row>
    <row r="283" spans="1:6" ht="13.5" customHeight="1" hidden="1">
      <c r="A283" s="252"/>
      <c r="B283" s="254"/>
      <c r="C283" s="336"/>
      <c r="D283" s="337"/>
      <c r="E283" s="338"/>
      <c r="F283" s="338"/>
    </row>
    <row r="284" spans="1:6" ht="13.5" customHeight="1" hidden="1">
      <c r="A284" s="236"/>
      <c r="B284" s="254"/>
      <c r="C284" s="336"/>
      <c r="D284" s="337"/>
      <c r="E284" s="338"/>
      <c r="F284" s="338"/>
    </row>
    <row r="285" spans="1:6" ht="15.75" customHeight="1" hidden="1">
      <c r="A285" s="236"/>
      <c r="B285" s="254"/>
      <c r="C285" s="336"/>
      <c r="D285" s="337"/>
      <c r="E285" s="338"/>
      <c r="F285" s="338"/>
    </row>
    <row r="286" spans="1:6" ht="13.5" customHeight="1" hidden="1">
      <c r="A286" s="236"/>
      <c r="B286" s="254"/>
      <c r="C286" s="336"/>
      <c r="D286" s="337"/>
      <c r="E286" s="338"/>
      <c r="F286" s="338"/>
    </row>
    <row r="287" spans="1:6" ht="13.5" customHeight="1" hidden="1">
      <c r="A287" s="236"/>
      <c r="B287" s="254"/>
      <c r="C287" s="336"/>
      <c r="D287" s="337"/>
      <c r="E287" s="338"/>
      <c r="F287" s="338"/>
    </row>
    <row r="288" spans="1:6" ht="13.5" customHeight="1" hidden="1">
      <c r="A288" s="236"/>
      <c r="B288" s="254"/>
      <c r="C288" s="336"/>
      <c r="D288" s="337"/>
      <c r="E288" s="338"/>
      <c r="F288" s="338"/>
    </row>
    <row r="289" spans="1:6" ht="14.25" customHeight="1" hidden="1">
      <c r="A289" s="236"/>
      <c r="B289" s="254"/>
      <c r="C289" s="336"/>
      <c r="D289" s="337"/>
      <c r="E289" s="338"/>
      <c r="F289" s="338"/>
    </row>
    <row r="290" spans="1:6" ht="13.5" customHeight="1" hidden="1">
      <c r="A290" s="233"/>
      <c r="B290" s="254"/>
      <c r="C290" s="311"/>
      <c r="D290" s="337"/>
      <c r="E290" s="338"/>
      <c r="F290" s="338"/>
    </row>
    <row r="291" spans="1:6" ht="13.5" customHeight="1" hidden="1">
      <c r="A291" s="252"/>
      <c r="B291" s="254"/>
      <c r="C291" s="336"/>
      <c r="D291" s="337"/>
      <c r="E291" s="338"/>
      <c r="F291" s="338"/>
    </row>
    <row r="292" spans="1:6" ht="13.5" customHeight="1" hidden="1">
      <c r="A292" s="252"/>
      <c r="B292" s="254"/>
      <c r="C292" s="337"/>
      <c r="D292" s="337"/>
      <c r="E292" s="338"/>
      <c r="F292" s="338"/>
    </row>
    <row r="293" spans="1:6" ht="13.5" customHeight="1" hidden="1">
      <c r="A293" s="236"/>
      <c r="B293" s="254"/>
      <c r="C293" s="337"/>
      <c r="D293" s="337"/>
      <c r="E293" s="338"/>
      <c r="F293" s="338"/>
    </row>
    <row r="294" spans="1:6" ht="13.5" customHeight="1" hidden="1">
      <c r="A294" s="236"/>
      <c r="B294" s="254"/>
      <c r="C294" s="336"/>
      <c r="D294" s="337"/>
      <c r="E294" s="338"/>
      <c r="F294" s="338"/>
    </row>
    <row r="295" spans="1:6" ht="15.75" hidden="1" thickBot="1">
      <c r="A295" s="243"/>
      <c r="B295" s="254"/>
      <c r="C295" s="311"/>
      <c r="D295" s="309"/>
      <c r="E295" s="310"/>
      <c r="F295" s="310"/>
    </row>
    <row r="296" spans="1:6" ht="18" customHeight="1" hidden="1" thickBot="1">
      <c r="A296" s="240"/>
      <c r="B296" s="242"/>
      <c r="C296" s="317"/>
      <c r="D296" s="317"/>
      <c r="E296" s="318"/>
      <c r="F296" s="318"/>
    </row>
    <row r="297" spans="1:6" ht="15.75" customHeight="1" hidden="1" thickBot="1">
      <c r="A297" s="633"/>
      <c r="B297" s="634"/>
      <c r="C297" s="634"/>
      <c r="D297" s="634"/>
      <c r="E297" s="635"/>
      <c r="F297" s="230"/>
    </row>
    <row r="298" spans="1:6" ht="13.5" customHeight="1" hidden="1">
      <c r="A298" s="252"/>
      <c r="B298" s="254"/>
      <c r="C298" s="329"/>
      <c r="D298" s="327"/>
      <c r="E298" s="328"/>
      <c r="F298" s="328"/>
    </row>
    <row r="299" spans="1:11" s="270" customFormat="1" ht="45.75" customHeight="1" hidden="1">
      <c r="A299" s="265"/>
      <c r="B299" s="266"/>
      <c r="C299" s="314"/>
      <c r="D299" s="315"/>
      <c r="E299" s="316"/>
      <c r="F299" s="316"/>
      <c r="G299" s="230"/>
      <c r="I299" s="271"/>
      <c r="J299" s="271"/>
      <c r="K299" s="271"/>
    </row>
    <row r="300" spans="1:11" s="270" customFormat="1" ht="31.5" customHeight="1" hidden="1">
      <c r="A300" s="265"/>
      <c r="B300" s="266"/>
      <c r="C300" s="314"/>
      <c r="D300" s="315"/>
      <c r="E300" s="316"/>
      <c r="F300" s="316"/>
      <c r="G300" s="230"/>
      <c r="I300" s="271"/>
      <c r="J300" s="271"/>
      <c r="K300" s="271"/>
    </row>
    <row r="301" spans="1:11" s="270" customFormat="1" ht="33" customHeight="1" hidden="1">
      <c r="A301" s="265"/>
      <c r="B301" s="266"/>
      <c r="C301" s="314"/>
      <c r="D301" s="315"/>
      <c r="E301" s="316"/>
      <c r="F301" s="316"/>
      <c r="G301" s="230"/>
      <c r="I301" s="271"/>
      <c r="J301" s="271"/>
      <c r="K301" s="271"/>
    </row>
    <row r="302" spans="1:6" ht="13.5" customHeight="1" hidden="1">
      <c r="A302" s="252"/>
      <c r="B302" s="254"/>
      <c r="C302" s="329"/>
      <c r="D302" s="327"/>
      <c r="E302" s="328"/>
      <c r="F302" s="328"/>
    </row>
    <row r="303" spans="1:14" s="267" customFormat="1" ht="15.75" hidden="1" thickBot="1">
      <c r="A303" s="265"/>
      <c r="B303" s="266"/>
      <c r="C303" s="314"/>
      <c r="D303" s="315"/>
      <c r="E303" s="316"/>
      <c r="F303" s="316"/>
      <c r="G303" s="230"/>
      <c r="H303" s="269"/>
      <c r="I303" s="268"/>
      <c r="J303" s="268"/>
      <c r="K303" s="268"/>
      <c r="N303" s="268"/>
    </row>
    <row r="304" spans="1:14" s="267" customFormat="1" ht="15.75" hidden="1" thickBot="1">
      <c r="A304" s="265"/>
      <c r="B304" s="266"/>
      <c r="C304" s="314"/>
      <c r="D304" s="315"/>
      <c r="E304" s="316"/>
      <c r="F304" s="316"/>
      <c r="G304" s="230"/>
      <c r="H304" s="269"/>
      <c r="I304" s="268"/>
      <c r="J304" s="268"/>
      <c r="K304" s="268"/>
      <c r="N304" s="268"/>
    </row>
    <row r="305" spans="1:14" s="267" customFormat="1" ht="15.75" hidden="1" thickBot="1">
      <c r="A305" s="265"/>
      <c r="B305" s="266"/>
      <c r="C305" s="314"/>
      <c r="D305" s="315"/>
      <c r="E305" s="316"/>
      <c r="F305" s="316"/>
      <c r="G305" s="230"/>
      <c r="H305" s="269"/>
      <c r="I305" s="268"/>
      <c r="J305" s="268"/>
      <c r="K305" s="268"/>
      <c r="N305" s="268"/>
    </row>
    <row r="306" spans="1:14" s="267" customFormat="1" ht="15.75" hidden="1" thickBot="1">
      <c r="A306" s="265"/>
      <c r="B306" s="266"/>
      <c r="C306" s="314"/>
      <c r="D306" s="315"/>
      <c r="E306" s="316"/>
      <c r="F306" s="316"/>
      <c r="G306" s="230"/>
      <c r="H306" s="269"/>
      <c r="I306" s="268"/>
      <c r="J306" s="268"/>
      <c r="K306" s="268"/>
      <c r="N306" s="268"/>
    </row>
    <row r="307" spans="1:6" ht="13.5" customHeight="1" hidden="1">
      <c r="A307" s="252"/>
      <c r="B307" s="254"/>
      <c r="C307" s="329"/>
      <c r="D307" s="327"/>
      <c r="E307" s="328"/>
      <c r="F307" s="328"/>
    </row>
    <row r="308" spans="1:6" ht="13.5" customHeight="1" hidden="1">
      <c r="A308" s="252"/>
      <c r="B308" s="254"/>
      <c r="C308" s="329"/>
      <c r="D308" s="327"/>
      <c r="E308" s="328"/>
      <c r="F308" s="328"/>
    </row>
    <row r="309" spans="1:6" ht="13.5" customHeight="1" hidden="1">
      <c r="A309" s="252"/>
      <c r="B309" s="254"/>
      <c r="C309" s="329"/>
      <c r="D309" s="327"/>
      <c r="E309" s="328"/>
      <c r="F309" s="328"/>
    </row>
    <row r="310" spans="1:6" ht="14.25" customHeight="1" hidden="1">
      <c r="A310" s="252"/>
      <c r="B310" s="254"/>
      <c r="C310" s="329"/>
      <c r="D310" s="327"/>
      <c r="E310" s="328"/>
      <c r="F310" s="328"/>
    </row>
    <row r="311" spans="1:7" s="246" customFormat="1" ht="13.5" customHeight="1" hidden="1">
      <c r="A311" s="252"/>
      <c r="B311" s="254"/>
      <c r="C311" s="329"/>
      <c r="D311" s="327"/>
      <c r="E311" s="328"/>
      <c r="F311" s="328"/>
      <c r="G311" s="230"/>
    </row>
    <row r="312" spans="1:6" ht="13.5" customHeight="1" hidden="1">
      <c r="A312" s="252"/>
      <c r="B312" s="254"/>
      <c r="C312" s="329"/>
      <c r="D312" s="327"/>
      <c r="E312" s="328"/>
      <c r="F312" s="328"/>
    </row>
    <row r="313" spans="1:7" s="246" customFormat="1" ht="13.5" customHeight="1" hidden="1">
      <c r="A313" s="252"/>
      <c r="B313" s="254"/>
      <c r="C313" s="329"/>
      <c r="D313" s="327"/>
      <c r="E313" s="328"/>
      <c r="F313" s="328"/>
      <c r="G313" s="230"/>
    </row>
    <row r="314" spans="1:6" ht="13.5" customHeight="1" hidden="1">
      <c r="A314" s="243"/>
      <c r="B314" s="254"/>
      <c r="C314" s="326"/>
      <c r="D314" s="327"/>
      <c r="E314" s="328"/>
      <c r="F314" s="328"/>
    </row>
    <row r="315" spans="1:6" ht="13.5" customHeight="1" hidden="1">
      <c r="A315" s="252"/>
      <c r="B315" s="254"/>
      <c r="C315" s="329"/>
      <c r="D315" s="327"/>
      <c r="E315" s="328"/>
      <c r="F315" s="328"/>
    </row>
    <row r="316" spans="1:6" ht="13.5" customHeight="1" hidden="1">
      <c r="A316" s="252"/>
      <c r="B316" s="254"/>
      <c r="C316" s="329"/>
      <c r="D316" s="327"/>
      <c r="E316" s="328"/>
      <c r="F316" s="328"/>
    </row>
    <row r="317" spans="1:6" ht="16.5" customHeight="1" hidden="1">
      <c r="A317" s="252"/>
      <c r="B317" s="254"/>
      <c r="C317" s="329"/>
      <c r="D317" s="327"/>
      <c r="E317" s="328"/>
      <c r="F317" s="328"/>
    </row>
    <row r="318" spans="1:6" ht="15.75" hidden="1" thickBot="1">
      <c r="A318" s="252"/>
      <c r="B318" s="254"/>
      <c r="C318" s="329"/>
      <c r="D318" s="327"/>
      <c r="E318" s="328"/>
      <c r="F318" s="328"/>
    </row>
    <row r="319" spans="1:8" ht="19.5" customHeight="1" hidden="1" thickBot="1">
      <c r="A319" s="240"/>
      <c r="B319" s="242"/>
      <c r="C319" s="317"/>
      <c r="D319" s="317"/>
      <c r="E319" s="318"/>
      <c r="F319" s="318"/>
      <c r="H319" s="239"/>
    </row>
    <row r="320" spans="1:11" ht="18.75" customHeight="1">
      <c r="A320" s="625" t="s">
        <v>407</v>
      </c>
      <c r="B320" s="626"/>
      <c r="C320" s="626"/>
      <c r="D320" s="626"/>
      <c r="E320" s="626"/>
      <c r="F320" s="627"/>
      <c r="G320" s="231">
        <f>G145-B145</f>
        <v>0</v>
      </c>
      <c r="H320" s="231">
        <f>H145-C145</f>
        <v>0</v>
      </c>
      <c r="I320" s="231">
        <f>I145-D145</f>
        <v>0</v>
      </c>
      <c r="J320" s="231">
        <f>J145-E145</f>
        <v>0</v>
      </c>
      <c r="K320" s="231">
        <f>K145-F145</f>
        <v>0</v>
      </c>
    </row>
    <row r="321" spans="1:6" ht="18.75" customHeight="1" thickBot="1">
      <c r="A321" s="584" t="s">
        <v>43</v>
      </c>
      <c r="B321" s="585">
        <f>ROUND(C321+D321+E321*2.9+F321*$H$1,0)</f>
        <v>2418</v>
      </c>
      <c r="C321" s="586">
        <v>189</v>
      </c>
      <c r="D321" s="587">
        <v>164</v>
      </c>
      <c r="E321" s="587">
        <v>712</v>
      </c>
      <c r="F321" s="588">
        <v>0</v>
      </c>
    </row>
    <row r="322" spans="1:6" ht="18.75" customHeight="1" thickBot="1">
      <c r="A322" s="576" t="s">
        <v>7</v>
      </c>
      <c r="B322" s="577">
        <f>ROUND(C322+D322+E322*2.9+F322*$H$1,0)</f>
        <v>2418</v>
      </c>
      <c r="C322" s="578">
        <f>SUM(C321:C321)</f>
        <v>189</v>
      </c>
      <c r="D322" s="578">
        <f>SUM(D321:D321)</f>
        <v>164</v>
      </c>
      <c r="E322" s="579">
        <f>SUM(E321:E321)</f>
        <v>712</v>
      </c>
      <c r="F322" s="580">
        <f>SUM(F321:F321)</f>
        <v>0</v>
      </c>
    </row>
    <row r="323" spans="1:11" ht="18" customHeight="1">
      <c r="A323" s="625" t="s">
        <v>408</v>
      </c>
      <c r="B323" s="626"/>
      <c r="C323" s="626"/>
      <c r="D323" s="626"/>
      <c r="E323" s="626"/>
      <c r="F323" s="627"/>
      <c r="H323" s="231"/>
      <c r="I323" s="231"/>
      <c r="J323" s="231"/>
      <c r="K323" s="231"/>
    </row>
    <row r="324" spans="1:6" ht="21" customHeight="1" thickBot="1">
      <c r="A324" s="584" t="s">
        <v>43</v>
      </c>
      <c r="B324" s="585">
        <f>ROUND(C324+D324+E324*2.9+F324*$H$1,0)</f>
        <v>1978</v>
      </c>
      <c r="C324" s="586">
        <v>945</v>
      </c>
      <c r="D324" s="587">
        <v>82</v>
      </c>
      <c r="E324" s="587">
        <v>328</v>
      </c>
      <c r="F324" s="588">
        <v>0</v>
      </c>
    </row>
    <row r="325" spans="1:6" ht="19.5" customHeight="1" thickBot="1">
      <c r="A325" s="576" t="s">
        <v>7</v>
      </c>
      <c r="B325" s="577">
        <f>ROUND(C325+D325+E325*2.9+F325*$H$1,0)</f>
        <v>1978</v>
      </c>
      <c r="C325" s="578">
        <f>SUM(C324:C324)</f>
        <v>945</v>
      </c>
      <c r="D325" s="578">
        <f>SUM(D324:D324)</f>
        <v>82</v>
      </c>
      <c r="E325" s="579">
        <f>SUM(E324:E324)</f>
        <v>328</v>
      </c>
      <c r="F325" s="583">
        <f>SUM(F324:F324)</f>
        <v>0</v>
      </c>
    </row>
    <row r="326" spans="1:6" ht="20.25" customHeight="1">
      <c r="A326" s="625" t="s">
        <v>409</v>
      </c>
      <c r="B326" s="626"/>
      <c r="C326" s="626"/>
      <c r="D326" s="626"/>
      <c r="E326" s="626"/>
      <c r="F326" s="627"/>
    </row>
    <row r="327" spans="1:14" ht="18.75" customHeight="1">
      <c r="A327" s="233" t="s">
        <v>43</v>
      </c>
      <c r="B327" s="245">
        <f aca="true" t="shared" si="4" ref="B327:B333">ROUND(C327+D327+E327*2.9+F327*$H$1,0)</f>
        <v>11306</v>
      </c>
      <c r="C327" s="353">
        <v>5849</v>
      </c>
      <c r="D327" s="354">
        <v>260</v>
      </c>
      <c r="E327" s="354">
        <v>1792</v>
      </c>
      <c r="F327" s="575">
        <v>0</v>
      </c>
      <c r="H327" s="231"/>
      <c r="K327" s="231"/>
      <c r="L327" s="231"/>
      <c r="M327" s="231"/>
      <c r="N327" s="231"/>
    </row>
    <row r="328" spans="1:14" ht="18.75" customHeight="1" thickBot="1">
      <c r="A328" s="262" t="s">
        <v>44</v>
      </c>
      <c r="B328" s="279">
        <f t="shared" si="4"/>
        <v>7714</v>
      </c>
      <c r="C328" s="589">
        <v>3759</v>
      </c>
      <c r="D328" s="360">
        <v>185</v>
      </c>
      <c r="E328" s="360">
        <v>1300</v>
      </c>
      <c r="F328" s="581">
        <f>SUM(F327:F327)</f>
        <v>0</v>
      </c>
      <c r="H328" s="231"/>
      <c r="K328" s="231"/>
      <c r="L328" s="231"/>
      <c r="M328" s="231"/>
      <c r="N328" s="231"/>
    </row>
    <row r="329" spans="1:8" ht="18.75" customHeight="1" thickBot="1">
      <c r="A329" s="240" t="s">
        <v>7</v>
      </c>
      <c r="B329" s="241">
        <f t="shared" si="4"/>
        <v>19020</v>
      </c>
      <c r="C329" s="242">
        <f>SUM(C327:C328)</f>
        <v>9608</v>
      </c>
      <c r="D329" s="242">
        <f>SUM(D327:D328)</f>
        <v>445</v>
      </c>
      <c r="E329" s="558">
        <f>SUM(E327:E328)</f>
        <v>3092</v>
      </c>
      <c r="F329" s="582">
        <f>SUM(F327:F328)</f>
        <v>0</v>
      </c>
      <c r="H329" s="231"/>
    </row>
    <row r="330" spans="1:6" ht="18.75" customHeight="1">
      <c r="A330" s="625" t="s">
        <v>410</v>
      </c>
      <c r="B330" s="626"/>
      <c r="C330" s="626"/>
      <c r="D330" s="626"/>
      <c r="E330" s="626"/>
      <c r="F330" s="627"/>
    </row>
    <row r="331" spans="1:14" ht="15.75" customHeight="1">
      <c r="A331" s="233" t="s">
        <v>43</v>
      </c>
      <c r="B331" s="245">
        <f t="shared" si="4"/>
        <v>16020</v>
      </c>
      <c r="C331" s="353">
        <v>8133</v>
      </c>
      <c r="D331" s="354">
        <v>860</v>
      </c>
      <c r="E331" s="354">
        <v>2423</v>
      </c>
      <c r="F331" s="575">
        <v>0</v>
      </c>
      <c r="K331" s="231"/>
      <c r="L331" s="231"/>
      <c r="M331" s="231"/>
      <c r="N331" s="231"/>
    </row>
    <row r="332" spans="1:14" ht="15.75" customHeight="1" thickBot="1">
      <c r="A332" s="262" t="s">
        <v>44</v>
      </c>
      <c r="B332" s="279">
        <f t="shared" si="4"/>
        <v>9989</v>
      </c>
      <c r="C332" s="589">
        <v>5157</v>
      </c>
      <c r="D332" s="360">
        <v>470</v>
      </c>
      <c r="E332" s="360">
        <v>1504</v>
      </c>
      <c r="F332" s="581">
        <v>0</v>
      </c>
      <c r="K332" s="231"/>
      <c r="L332" s="231"/>
      <c r="M332" s="231"/>
      <c r="N332" s="231"/>
    </row>
    <row r="333" spans="1:8" ht="15.75" customHeight="1" thickBot="1">
      <c r="A333" s="240" t="s">
        <v>7</v>
      </c>
      <c r="B333" s="241">
        <f t="shared" si="4"/>
        <v>26008</v>
      </c>
      <c r="C333" s="242">
        <f>SUM(C331:C332)</f>
        <v>13290</v>
      </c>
      <c r="D333" s="242">
        <f>SUM(D331:D332)</f>
        <v>1330</v>
      </c>
      <c r="E333" s="558">
        <f>SUM(E331:E332)</f>
        <v>3927</v>
      </c>
      <c r="F333" s="582">
        <f>SUM(F331:F332)</f>
        <v>0</v>
      </c>
      <c r="H333" s="231"/>
    </row>
    <row r="334" spans="1:6" ht="15" customHeight="1">
      <c r="A334" s="625" t="s">
        <v>411</v>
      </c>
      <c r="B334" s="626"/>
      <c r="C334" s="626"/>
      <c r="D334" s="626"/>
      <c r="E334" s="626"/>
      <c r="F334" s="626"/>
    </row>
    <row r="335" spans="1:6" ht="15.75" customHeight="1">
      <c r="A335" s="243" t="s">
        <v>69</v>
      </c>
      <c r="B335" s="255">
        <f aca="true" t="shared" si="5" ref="B335:B341">ROUND(C335+D335+E335*2.9,0)</f>
        <v>600</v>
      </c>
      <c r="C335" s="368">
        <v>136</v>
      </c>
      <c r="D335" s="358">
        <v>0</v>
      </c>
      <c r="E335" s="358">
        <v>160</v>
      </c>
      <c r="F335" s="575">
        <v>0</v>
      </c>
    </row>
    <row r="336" spans="1:6" ht="15.75" customHeight="1">
      <c r="A336" s="243" t="s">
        <v>357</v>
      </c>
      <c r="B336" s="255">
        <f t="shared" si="5"/>
        <v>200</v>
      </c>
      <c r="C336" s="357">
        <v>55</v>
      </c>
      <c r="D336" s="358">
        <v>0</v>
      </c>
      <c r="E336" s="358">
        <v>50</v>
      </c>
      <c r="F336" s="575">
        <v>0</v>
      </c>
    </row>
    <row r="337" spans="1:6" ht="15.75" customHeight="1">
      <c r="A337" s="243" t="s">
        <v>1</v>
      </c>
      <c r="B337" s="255">
        <f t="shared" si="5"/>
        <v>200</v>
      </c>
      <c r="C337" s="357">
        <v>55</v>
      </c>
      <c r="D337" s="358">
        <v>0</v>
      </c>
      <c r="E337" s="358">
        <v>50</v>
      </c>
      <c r="F337" s="575">
        <v>0</v>
      </c>
    </row>
    <row r="338" spans="1:6" ht="15.75" customHeight="1">
      <c r="A338" s="243" t="s">
        <v>33</v>
      </c>
      <c r="B338" s="255">
        <f t="shared" si="5"/>
        <v>350</v>
      </c>
      <c r="C338" s="357">
        <v>89</v>
      </c>
      <c r="D338" s="358">
        <v>0</v>
      </c>
      <c r="E338" s="358">
        <v>90</v>
      </c>
      <c r="F338" s="575">
        <v>0</v>
      </c>
    </row>
    <row r="339" spans="1:6" ht="15.75" customHeight="1">
      <c r="A339" s="243" t="s">
        <v>63</v>
      </c>
      <c r="B339" s="255">
        <f t="shared" si="5"/>
        <v>350</v>
      </c>
      <c r="C339" s="357">
        <v>89</v>
      </c>
      <c r="D339" s="358">
        <v>0</v>
      </c>
      <c r="E339" s="358">
        <v>90</v>
      </c>
      <c r="F339" s="575">
        <v>0</v>
      </c>
    </row>
    <row r="340" spans="1:6" ht="15.75" customHeight="1">
      <c r="A340" s="243" t="s">
        <v>77</v>
      </c>
      <c r="B340" s="255">
        <f t="shared" si="5"/>
        <v>100</v>
      </c>
      <c r="C340" s="368">
        <v>13</v>
      </c>
      <c r="D340" s="358">
        <v>0</v>
      </c>
      <c r="E340" s="358">
        <v>30</v>
      </c>
      <c r="F340" s="575">
        <v>0</v>
      </c>
    </row>
    <row r="341" spans="1:14" ht="18.75" customHeight="1" thickBot="1">
      <c r="A341" s="233" t="s">
        <v>43</v>
      </c>
      <c r="B341" s="245">
        <f t="shared" si="5"/>
        <v>12686</v>
      </c>
      <c r="C341" s="353">
        <v>6170</v>
      </c>
      <c r="D341" s="354">
        <v>0</v>
      </c>
      <c r="E341" s="354">
        <v>2247</v>
      </c>
      <c r="F341" s="575">
        <v>0</v>
      </c>
      <c r="K341" s="231"/>
      <c r="L341" s="231"/>
      <c r="M341" s="231"/>
      <c r="N341" s="231"/>
    </row>
    <row r="342" spans="1:8" ht="18.75" customHeight="1" thickBot="1">
      <c r="A342" s="240" t="s">
        <v>7</v>
      </c>
      <c r="B342" s="241">
        <f>SUM(B335:B341)</f>
        <v>14486</v>
      </c>
      <c r="C342" s="242">
        <f>SUM(C335:C341)</f>
        <v>6607</v>
      </c>
      <c r="D342" s="242">
        <f>SUM(D335:D341)</f>
        <v>0</v>
      </c>
      <c r="E342" s="558">
        <f>SUM(E335:E341)</f>
        <v>2717</v>
      </c>
      <c r="F342" s="590">
        <f>SUM(F335:F341)</f>
        <v>0</v>
      </c>
      <c r="H342" s="231"/>
    </row>
    <row r="343" spans="1:6" ht="21.75" customHeight="1">
      <c r="A343" s="625" t="s">
        <v>412</v>
      </c>
      <c r="B343" s="626"/>
      <c r="C343" s="626"/>
      <c r="D343" s="626"/>
      <c r="E343" s="626"/>
      <c r="F343" s="627"/>
    </row>
    <row r="344" spans="1:6" ht="19.5" customHeight="1" thickBot="1">
      <c r="A344" s="584" t="s">
        <v>43</v>
      </c>
      <c r="B344" s="585">
        <f>ROUND(C344+D344+E344*2.9,0)</f>
        <v>4131</v>
      </c>
      <c r="C344" s="586">
        <v>4131</v>
      </c>
      <c r="D344" s="587">
        <v>0</v>
      </c>
      <c r="E344" s="587">
        <v>0</v>
      </c>
      <c r="F344" s="588">
        <v>0</v>
      </c>
    </row>
    <row r="345" spans="1:6" ht="18.75" customHeight="1" thickBot="1">
      <c r="A345" s="576" t="s">
        <v>7</v>
      </c>
      <c r="B345" s="577">
        <f>SUM(B344:B344)</f>
        <v>4131</v>
      </c>
      <c r="C345" s="578">
        <f>SUM(C344:C344)</f>
        <v>4131</v>
      </c>
      <c r="D345" s="578">
        <f>SUM(D344:D344)</f>
        <v>0</v>
      </c>
      <c r="E345" s="579">
        <f>SUM(E344:E344)</f>
        <v>0</v>
      </c>
      <c r="F345" s="583">
        <f>SUM(F344:F344)</f>
        <v>0</v>
      </c>
    </row>
    <row r="346" spans="1:6" ht="19.5" customHeight="1">
      <c r="A346" s="625" t="s">
        <v>413</v>
      </c>
      <c r="B346" s="626"/>
      <c r="C346" s="626"/>
      <c r="D346" s="626"/>
      <c r="E346" s="626"/>
      <c r="F346" s="627"/>
    </row>
    <row r="347" spans="1:14" ht="13.5" customHeight="1">
      <c r="A347" s="233" t="s">
        <v>43</v>
      </c>
      <c r="B347" s="245">
        <f>ROUND(C347+D347+E347*2.9,0)</f>
        <v>2048</v>
      </c>
      <c r="C347" s="353">
        <v>893</v>
      </c>
      <c r="D347" s="354">
        <v>56</v>
      </c>
      <c r="E347" s="354">
        <v>379</v>
      </c>
      <c r="F347" s="575">
        <v>0</v>
      </c>
      <c r="K347" s="231"/>
      <c r="L347" s="231"/>
      <c r="M347" s="231"/>
      <c r="N347" s="231"/>
    </row>
    <row r="348" spans="1:14" ht="21" customHeight="1" thickBot="1">
      <c r="A348" s="262" t="s">
        <v>44</v>
      </c>
      <c r="B348" s="279">
        <f>ROUND(C348+D348+E348*2.9,0)</f>
        <v>786</v>
      </c>
      <c r="C348" s="589">
        <v>221</v>
      </c>
      <c r="D348" s="360">
        <v>14</v>
      </c>
      <c r="E348" s="360">
        <v>190</v>
      </c>
      <c r="F348" s="581">
        <v>0</v>
      </c>
      <c r="K348" s="231"/>
      <c r="L348" s="231"/>
      <c r="M348" s="231"/>
      <c r="N348" s="231"/>
    </row>
    <row r="349" spans="1:8" ht="18.75" customHeight="1" thickBot="1">
      <c r="A349" s="240" t="s">
        <v>7</v>
      </c>
      <c r="B349" s="241">
        <f>SUM(B347:B348)</f>
        <v>2834</v>
      </c>
      <c r="C349" s="242">
        <f>SUM(C347:C348)</f>
        <v>1114</v>
      </c>
      <c r="D349" s="242">
        <f>SUM(D347:D348)</f>
        <v>70</v>
      </c>
      <c r="E349" s="558">
        <f>SUM(E347:E348)</f>
        <v>569</v>
      </c>
      <c r="F349" s="582">
        <f>SUM(F347:F348)</f>
        <v>0</v>
      </c>
      <c r="H349" s="231"/>
    </row>
    <row r="350" spans="1:14" ht="18.75" customHeight="1">
      <c r="A350" s="625" t="s">
        <v>414</v>
      </c>
      <c r="B350" s="626"/>
      <c r="C350" s="626"/>
      <c r="D350" s="626"/>
      <c r="E350" s="626"/>
      <c r="F350" s="627"/>
      <c r="K350" s="231"/>
      <c r="L350" s="231"/>
      <c r="M350" s="231"/>
      <c r="N350" s="231"/>
    </row>
    <row r="351" spans="1:6" ht="18.75" customHeight="1" thickBot="1">
      <c r="A351" s="584" t="s">
        <v>71</v>
      </c>
      <c r="B351" s="585">
        <f>ROUND(C351+D351+E351*2.9,0)</f>
        <v>580</v>
      </c>
      <c r="C351" s="586">
        <v>0</v>
      </c>
      <c r="D351" s="587">
        <v>0</v>
      </c>
      <c r="E351" s="587">
        <v>200</v>
      </c>
      <c r="F351" s="588">
        <v>0</v>
      </c>
    </row>
    <row r="352" spans="1:6" ht="18.75" customHeight="1" thickBot="1">
      <c r="A352" s="576" t="s">
        <v>7</v>
      </c>
      <c r="B352" s="577">
        <f>SUM(B351:B351)</f>
        <v>580</v>
      </c>
      <c r="C352" s="578">
        <f>SUM(C351:C351)</f>
        <v>0</v>
      </c>
      <c r="D352" s="578">
        <f>SUM(D351:D351)</f>
        <v>0</v>
      </c>
      <c r="E352" s="579">
        <f>SUM(E351:E351)</f>
        <v>200</v>
      </c>
      <c r="F352" s="583">
        <f>SUM(F351:F351)</f>
        <v>0</v>
      </c>
    </row>
    <row r="353" spans="1:6" ht="18.75" customHeight="1">
      <c r="A353" s="625" t="s">
        <v>415</v>
      </c>
      <c r="B353" s="626"/>
      <c r="C353" s="626"/>
      <c r="D353" s="626"/>
      <c r="E353" s="626"/>
      <c r="F353" s="627"/>
    </row>
    <row r="354" spans="1:6" ht="18.75" customHeight="1" thickBot="1">
      <c r="A354" s="584" t="s">
        <v>480</v>
      </c>
      <c r="B354" s="585">
        <f>ROUND(C354+D354+E354*2.9,0)</f>
        <v>6</v>
      </c>
      <c r="C354" s="586">
        <v>6</v>
      </c>
      <c r="D354" s="587">
        <v>0</v>
      </c>
      <c r="E354" s="587">
        <v>0</v>
      </c>
      <c r="F354" s="588">
        <v>0</v>
      </c>
    </row>
    <row r="355" spans="1:6" ht="18.75" customHeight="1" thickBot="1">
      <c r="A355" s="576" t="s">
        <v>7</v>
      </c>
      <c r="B355" s="577">
        <f>SUM(B354:B354)</f>
        <v>6</v>
      </c>
      <c r="C355" s="578">
        <f>SUM(C354:C354)</f>
        <v>6</v>
      </c>
      <c r="D355" s="578">
        <f>SUM(D354:D354)</f>
        <v>0</v>
      </c>
      <c r="E355" s="579">
        <f>SUM(E354:E354)</f>
        <v>0</v>
      </c>
      <c r="F355" s="583">
        <f>SUM(F354:F354)</f>
        <v>0</v>
      </c>
    </row>
    <row r="356" spans="1:6" ht="31.5" customHeight="1">
      <c r="A356" s="625" t="s">
        <v>416</v>
      </c>
      <c r="B356" s="626"/>
      <c r="C356" s="626"/>
      <c r="D356" s="626"/>
      <c r="E356" s="626"/>
      <c r="F356" s="627"/>
    </row>
    <row r="357" spans="1:9" ht="29.25" customHeight="1" thickBot="1">
      <c r="A357" s="584" t="s">
        <v>205</v>
      </c>
      <c r="B357" s="585">
        <f>ROUND(C357+D357+E357*2.9,0)</f>
        <v>21028</v>
      </c>
      <c r="C357" s="586">
        <v>8331</v>
      </c>
      <c r="D357" s="587">
        <v>2115</v>
      </c>
      <c r="E357" s="587">
        <v>3649</v>
      </c>
      <c r="F357" s="588">
        <v>0</v>
      </c>
      <c r="G357" s="231"/>
      <c r="H357" s="231"/>
      <c r="I357" s="231"/>
    </row>
    <row r="358" spans="1:16" ht="29.25" thickBot="1">
      <c r="A358" s="263" t="s">
        <v>14</v>
      </c>
      <c r="B358" s="339">
        <f>B349+B345+B342+B333+B329+B325+B322+B319+B296+B272+B252+B230+B211+B193+B172+B149+B145+B112+B92+B70+B66+B55+B99+B352+B357+B355</f>
        <v>1173506</v>
      </c>
      <c r="C358" s="339">
        <f>C349+C345+C342+C333+C329+C325+C322+C319+C296+C272+C252+C230+C211+C193+C172+C149+C145+C112+C92+C70+C66+C55+C99+C352+C357+C355</f>
        <v>367223</v>
      </c>
      <c r="D358" s="339">
        <f>D349+D345+D342+D333+D329+D325+D322+D319+D296+D272+D252+D230+D211+D193+D172+D149+D145+D112+D92+D70+D66+D55+D99+D352+D357+D355</f>
        <v>72631</v>
      </c>
      <c r="E358" s="591">
        <f>E349+E345+E342+E333+E329+E325+E322+E319+E296+E272+E252+E230+E211+E193+E172+E149+E145+E112+E92+E70+E66+E55+E99+E352+E357+E355</f>
        <v>240844</v>
      </c>
      <c r="F358" s="340">
        <f>F349+F345+F342+F333+F329+F325+F322+F319+F296+F272+F252+F230+F211+F193+F172+F149+F145+F112+F92+F70+F66+F55+F99+F352+F357+F355</f>
        <v>35204</v>
      </c>
      <c r="G358" s="231">
        <f>H358+I358+J358*2.9+K358</f>
        <v>1173505.6</v>
      </c>
      <c r="H358" s="352">
        <f>35722+44575+286926</f>
        <v>367223</v>
      </c>
      <c r="I358" s="352">
        <v>72631</v>
      </c>
      <c r="J358" s="352">
        <f>240447+397</f>
        <v>240844</v>
      </c>
      <c r="K358" s="352">
        <v>35204</v>
      </c>
      <c r="L358" s="231"/>
      <c r="M358" s="231"/>
      <c r="N358" s="231"/>
      <c r="O358" s="231"/>
      <c r="P358" s="231"/>
    </row>
    <row r="359" spans="1:16" s="270" customFormat="1" ht="51" customHeight="1">
      <c r="A359" s="282" t="s">
        <v>380</v>
      </c>
      <c r="B359" s="266">
        <f>ROUND(C359+D359+E359*2.9,0)</f>
        <v>80297</v>
      </c>
      <c r="C359" s="314">
        <f>SUM(C360:C365)-C361</f>
        <v>80297</v>
      </c>
      <c r="D359" s="314">
        <f>SUM(D360:D365)-D361</f>
        <v>0</v>
      </c>
      <c r="E359" s="592">
        <f>SUM(E360:E365)-E361</f>
        <v>0</v>
      </c>
      <c r="F359" s="335">
        <f>SUM(F360:F365)-F361</f>
        <v>0</v>
      </c>
      <c r="G359" s="268">
        <f>G358-B358</f>
        <v>-0.39999999990686774</v>
      </c>
      <c r="H359" s="268">
        <f>H358-C358</f>
        <v>0</v>
      </c>
      <c r="I359" s="268">
        <f>I358-D358</f>
        <v>0</v>
      </c>
      <c r="J359" s="268">
        <f>J358-E358</f>
        <v>0</v>
      </c>
      <c r="K359" s="268">
        <f>K358-F358</f>
        <v>0</v>
      </c>
      <c r="L359" s="231"/>
      <c r="M359" s="231"/>
      <c r="N359" s="231"/>
      <c r="O359" s="231"/>
      <c r="P359" s="231"/>
    </row>
    <row r="360" spans="1:16" s="270" customFormat="1" ht="30" customHeight="1">
      <c r="A360" s="265" t="s">
        <v>379</v>
      </c>
      <c r="B360" s="266">
        <f aca="true" t="shared" si="6" ref="B360:B365">ROUND(C360+D360+E360*2.9,0)</f>
        <v>44041</v>
      </c>
      <c r="C360" s="314">
        <f>C104+C133+C153+C176+C197+C215+C234+C256+C276+C300+C39</f>
        <v>44041</v>
      </c>
      <c r="D360" s="315">
        <f aca="true" t="shared" si="7" ref="D360:F361">D104+D133+D153+D176+D197+D215+D234+D256+D276+D300</f>
        <v>0</v>
      </c>
      <c r="E360" s="315">
        <f t="shared" si="7"/>
        <v>0</v>
      </c>
      <c r="F360" s="316">
        <f t="shared" si="7"/>
        <v>0</v>
      </c>
      <c r="G360" s="268">
        <f>'1.1. ПРОФ.МЕРОПРИЯТИЯ'!E22</f>
        <v>44041</v>
      </c>
      <c r="H360" s="271"/>
      <c r="I360" s="271"/>
      <c r="J360" s="271"/>
      <c r="K360" s="271"/>
      <c r="L360" s="231"/>
      <c r="M360" s="231"/>
      <c r="N360" s="231"/>
      <c r="O360" s="231"/>
      <c r="P360" s="231"/>
    </row>
    <row r="361" spans="1:16" s="270" customFormat="1" ht="23.25" customHeight="1">
      <c r="A361" s="265" t="s">
        <v>378</v>
      </c>
      <c r="B361" s="266">
        <f t="shared" si="6"/>
        <v>3020</v>
      </c>
      <c r="C361" s="314">
        <f>C105+C134+C154+C177+C198+C216+C235+C257+C277+C301+C40</f>
        <v>3020</v>
      </c>
      <c r="D361" s="315">
        <f t="shared" si="7"/>
        <v>0</v>
      </c>
      <c r="E361" s="315">
        <f t="shared" si="7"/>
        <v>0</v>
      </c>
      <c r="F361" s="316">
        <f t="shared" si="7"/>
        <v>0</v>
      </c>
      <c r="G361" s="268">
        <f>'1.1. ПРОФ.МЕРОПРИЯТИЯ'!F22</f>
        <v>3020</v>
      </c>
      <c r="H361" s="271"/>
      <c r="I361" s="271"/>
      <c r="J361" s="271"/>
      <c r="K361" s="271"/>
      <c r="L361" s="231"/>
      <c r="M361" s="231"/>
      <c r="N361" s="231"/>
      <c r="O361" s="231"/>
      <c r="P361" s="231"/>
    </row>
    <row r="362" spans="1:16" s="270" customFormat="1" ht="28.5" customHeight="1">
      <c r="A362" s="265" t="s">
        <v>204</v>
      </c>
      <c r="B362" s="266">
        <f t="shared" si="6"/>
        <v>9683</v>
      </c>
      <c r="C362" s="314">
        <f>C105+C135+C154+C177+C198+C216+C235+C257+C277+C301+C41</f>
        <v>9683</v>
      </c>
      <c r="D362" s="315">
        <f>D105+D135+D154+D177+D198+D216+D235+D257+D277+D301</f>
        <v>0</v>
      </c>
      <c r="E362" s="315">
        <f>E105+E135+E154+E177+E198+E216+E235+E257+E277+E301</f>
        <v>0</v>
      </c>
      <c r="F362" s="316">
        <f>F105+F135+F154+F177+F198+F216+F235+F257+F277+F301</f>
        <v>0</v>
      </c>
      <c r="G362" s="268">
        <f>'1.1. ПРОФ.МЕРОПРИЯТИЯ'!I22</f>
        <v>9683</v>
      </c>
      <c r="H362" s="271"/>
      <c r="I362" s="271"/>
      <c r="J362" s="271"/>
      <c r="K362" s="271"/>
      <c r="L362" s="231"/>
      <c r="M362" s="231"/>
      <c r="N362" s="231"/>
      <c r="O362" s="231"/>
      <c r="P362" s="231"/>
    </row>
    <row r="363" spans="1:16" s="267" customFormat="1" ht="30">
      <c r="A363" s="265" t="s">
        <v>146</v>
      </c>
      <c r="B363" s="266">
        <f t="shared" si="6"/>
        <v>250</v>
      </c>
      <c r="C363" s="314">
        <f>C87+C157+C180+C220+C238+C260+C280+C304+C201+C29</f>
        <v>250</v>
      </c>
      <c r="D363" s="315">
        <f aca="true" t="shared" si="8" ref="D363:F365">D87+D157+D180+D220+D238+D260+D280+D304+D201</f>
        <v>0</v>
      </c>
      <c r="E363" s="315">
        <f t="shared" si="8"/>
        <v>0</v>
      </c>
      <c r="F363" s="316">
        <f t="shared" si="8"/>
        <v>0</v>
      </c>
      <c r="G363" s="268">
        <f>'1.1. ПРОФ.МЕРОПРИЯТИЯ'!C22</f>
        <v>250</v>
      </c>
      <c r="H363" s="271"/>
      <c r="I363" s="268"/>
      <c r="J363" s="268"/>
      <c r="K363" s="268"/>
      <c r="L363" s="231"/>
      <c r="M363" s="231"/>
      <c r="N363" s="231"/>
      <c r="O363" s="231"/>
      <c r="P363" s="231"/>
    </row>
    <row r="364" spans="1:16" s="267" customFormat="1" ht="28.5" customHeight="1">
      <c r="A364" s="265" t="s">
        <v>147</v>
      </c>
      <c r="B364" s="266">
        <f t="shared" si="6"/>
        <v>284</v>
      </c>
      <c r="C364" s="314">
        <f>C88+C158+C181+C221+C239+C261+C281+C305+C202+C30</f>
        <v>284</v>
      </c>
      <c r="D364" s="315">
        <f t="shared" si="8"/>
        <v>0</v>
      </c>
      <c r="E364" s="315">
        <f t="shared" si="8"/>
        <v>0</v>
      </c>
      <c r="F364" s="316">
        <f t="shared" si="8"/>
        <v>0</v>
      </c>
      <c r="G364" s="268">
        <f>'1.1. ПРОФ.МЕРОПРИЯТИЯ'!D22</f>
        <v>284</v>
      </c>
      <c r="H364" s="271"/>
      <c r="I364" s="268"/>
      <c r="J364" s="268"/>
      <c r="K364" s="268"/>
      <c r="L364" s="231"/>
      <c r="M364" s="231"/>
      <c r="N364" s="231"/>
      <c r="O364" s="231"/>
      <c r="P364" s="231"/>
    </row>
    <row r="365" spans="1:16" s="267" customFormat="1" ht="30">
      <c r="A365" s="265" t="s">
        <v>148</v>
      </c>
      <c r="B365" s="266">
        <f t="shared" si="6"/>
        <v>26039</v>
      </c>
      <c r="C365" s="314">
        <f>C89+C159+C182+C222+C240+C262+C282+C306+C203+C31</f>
        <v>26039</v>
      </c>
      <c r="D365" s="315">
        <f t="shared" si="8"/>
        <v>0</v>
      </c>
      <c r="E365" s="315">
        <f t="shared" si="8"/>
        <v>0</v>
      </c>
      <c r="F365" s="316">
        <f t="shared" si="8"/>
        <v>0</v>
      </c>
      <c r="G365" s="268">
        <f>'1.1. ПРОФ.МЕРОПРИЯТИЯ'!H22</f>
        <v>26039</v>
      </c>
      <c r="H365" s="271"/>
      <c r="I365" s="268"/>
      <c r="J365" s="268"/>
      <c r="K365" s="268"/>
      <c r="L365" s="231"/>
      <c r="M365" s="231"/>
      <c r="N365" s="231"/>
      <c r="O365" s="231"/>
      <c r="P365" s="231"/>
    </row>
    <row r="366" spans="2:6" s="260" customFormat="1" ht="15">
      <c r="B366" s="264"/>
      <c r="C366" s="341"/>
      <c r="D366" s="341"/>
      <c r="E366" s="341"/>
      <c r="F366" s="341"/>
    </row>
    <row r="367" spans="2:16" s="260" customFormat="1" ht="15.75" thickBot="1">
      <c r="B367" s="264"/>
      <c r="C367" s="341"/>
      <c r="D367" s="341"/>
      <c r="E367" s="341"/>
      <c r="F367" s="341"/>
      <c r="H367" s="621"/>
      <c r="I367" s="621"/>
      <c r="J367" s="621"/>
      <c r="K367" s="260" t="s">
        <v>485</v>
      </c>
      <c r="N367" s="621" t="s">
        <v>484</v>
      </c>
      <c r="O367" s="621"/>
      <c r="P367" s="621"/>
    </row>
    <row r="368" spans="1:16" s="260" customFormat="1" ht="15" customHeight="1" thickBot="1">
      <c r="A368" s="628" t="s">
        <v>4</v>
      </c>
      <c r="B368" s="636" t="s">
        <v>108</v>
      </c>
      <c r="C368" s="637" t="s">
        <v>488</v>
      </c>
      <c r="D368" s="638"/>
      <c r="E368" s="638"/>
      <c r="F368" s="639"/>
      <c r="G368" s="620" t="s">
        <v>108</v>
      </c>
      <c r="H368" s="615" t="s">
        <v>487</v>
      </c>
      <c r="I368" s="615"/>
      <c r="J368" s="616"/>
      <c r="M368" s="606" t="s">
        <v>108</v>
      </c>
      <c r="N368" s="622" t="s">
        <v>486</v>
      </c>
      <c r="O368" s="615"/>
      <c r="P368" s="616"/>
    </row>
    <row r="369" spans="1:16" s="260" customFormat="1" ht="15" customHeight="1">
      <c r="A369" s="629"/>
      <c r="B369" s="607"/>
      <c r="C369" s="609" t="s">
        <v>197</v>
      </c>
      <c r="D369" s="611" t="s">
        <v>45</v>
      </c>
      <c r="E369" s="613" t="s">
        <v>46</v>
      </c>
      <c r="F369" s="613" t="s">
        <v>503</v>
      </c>
      <c r="G369" s="607"/>
      <c r="H369" s="617" t="s">
        <v>197</v>
      </c>
      <c r="I369" s="618" t="s">
        <v>45</v>
      </c>
      <c r="J369" s="619" t="s">
        <v>46</v>
      </c>
      <c r="M369" s="607"/>
      <c r="N369" s="623" t="s">
        <v>197</v>
      </c>
      <c r="O369" s="618" t="s">
        <v>45</v>
      </c>
      <c r="P369" s="619" t="s">
        <v>46</v>
      </c>
    </row>
    <row r="370" spans="1:16" s="260" customFormat="1" ht="35.25" customHeight="1" thickBot="1">
      <c r="A370" s="630"/>
      <c r="B370" s="608"/>
      <c r="C370" s="610"/>
      <c r="D370" s="612"/>
      <c r="E370" s="614"/>
      <c r="F370" s="614"/>
      <c r="G370" s="608"/>
      <c r="H370" s="610"/>
      <c r="I370" s="612"/>
      <c r="J370" s="614"/>
      <c r="M370" s="608"/>
      <c r="N370" s="624"/>
      <c r="O370" s="612"/>
      <c r="P370" s="614"/>
    </row>
    <row r="371" spans="1:26" s="260" customFormat="1" ht="15.75">
      <c r="A371" s="518" t="s">
        <v>455</v>
      </c>
      <c r="B371" s="522">
        <f>B14+B51+B94+B95+B114+B335</f>
        <v>65726</v>
      </c>
      <c r="C371" s="522">
        <f>C14+C51+C94+C95+C114+C335</f>
        <v>26616</v>
      </c>
      <c r="D371" s="522">
        <f>D14+D51+D94+D95+D114+D335</f>
        <v>2254</v>
      </c>
      <c r="E371" s="522">
        <f>E14+E51+E94+E95+E114+E335</f>
        <v>11983</v>
      </c>
      <c r="F371" s="522">
        <f>F14+F51+F94+F95+F114+F335</f>
        <v>2106</v>
      </c>
      <c r="G371" s="260">
        <f>ROUND(H371+I371+J371*2.9,0)</f>
        <v>1311</v>
      </c>
      <c r="H371" s="260">
        <f>366+25</f>
        <v>391</v>
      </c>
      <c r="I371" s="260">
        <v>50</v>
      </c>
      <c r="J371" s="260">
        <v>300</v>
      </c>
      <c r="K371" s="531">
        <f>SUM(H371:J371)</f>
        <v>741</v>
      </c>
      <c r="M371" s="532">
        <f>B371+G371</f>
        <v>67037</v>
      </c>
      <c r="N371" s="532">
        <f>C371+H371</f>
        <v>27007</v>
      </c>
      <c r="O371" s="532">
        <f>D371+I371</f>
        <v>2304</v>
      </c>
      <c r="P371" s="532">
        <f>E371+J371</f>
        <v>12283</v>
      </c>
      <c r="W371" s="532"/>
      <c r="X371" s="264"/>
      <c r="Y371" s="264"/>
      <c r="Z371" s="264"/>
    </row>
    <row r="372" spans="1:26" s="260" customFormat="1" ht="15.75">
      <c r="A372" s="518" t="s">
        <v>456</v>
      </c>
      <c r="B372" s="522">
        <f>B72+B115</f>
        <v>2676</v>
      </c>
      <c r="C372" s="522">
        <f>C72+C115</f>
        <v>1034</v>
      </c>
      <c r="D372" s="522">
        <f>D72+D115</f>
        <v>68</v>
      </c>
      <c r="E372" s="522">
        <f>E72+E115</f>
        <v>543</v>
      </c>
      <c r="F372" s="522">
        <f>F72+F115</f>
        <v>0</v>
      </c>
      <c r="G372" s="260">
        <f aca="true" t="shared" si="9" ref="G372:G399">ROUND(H372+I372+J372*2.9,0)</f>
        <v>37</v>
      </c>
      <c r="H372" s="260">
        <v>20</v>
      </c>
      <c r="I372" s="260">
        <v>0</v>
      </c>
      <c r="J372" s="260">
        <v>6</v>
      </c>
      <c r="K372" s="531">
        <f aca="true" t="shared" si="10" ref="K372:K399">SUM(H372:J372)</f>
        <v>26</v>
      </c>
      <c r="M372" s="532">
        <f aca="true" t="shared" si="11" ref="M372:M399">B372+G372</f>
        <v>2713</v>
      </c>
      <c r="N372" s="532">
        <f aca="true" t="shared" si="12" ref="N372:N400">C372+H372</f>
        <v>1054</v>
      </c>
      <c r="O372" s="532">
        <f aca="true" t="shared" si="13" ref="O372:O400">D372+I372</f>
        <v>68</v>
      </c>
      <c r="P372" s="532">
        <f aca="true" t="shared" si="14" ref="P372:P400">E372+J372</f>
        <v>549</v>
      </c>
      <c r="W372" s="532"/>
      <c r="X372" s="264"/>
      <c r="Y372" s="264"/>
      <c r="Z372" s="264"/>
    </row>
    <row r="373" spans="1:26" s="260" customFormat="1" ht="15.75">
      <c r="A373" s="518" t="s">
        <v>47</v>
      </c>
      <c r="B373" s="522">
        <f>B15+B116</f>
        <v>20252</v>
      </c>
      <c r="C373" s="522">
        <f>C15+C116</f>
        <v>4862</v>
      </c>
      <c r="D373" s="522">
        <f>D15+D116</f>
        <v>962</v>
      </c>
      <c r="E373" s="522">
        <f>E15+E116</f>
        <v>4975</v>
      </c>
      <c r="F373" s="522">
        <f>F15+F116</f>
        <v>0</v>
      </c>
      <c r="G373" s="260">
        <f t="shared" si="9"/>
        <v>0</v>
      </c>
      <c r="H373" s="260">
        <v>0</v>
      </c>
      <c r="I373" s="260">
        <v>0</v>
      </c>
      <c r="J373" s="260">
        <v>0</v>
      </c>
      <c r="K373" s="531">
        <f t="shared" si="10"/>
        <v>0</v>
      </c>
      <c r="M373" s="532">
        <f t="shared" si="11"/>
        <v>20252</v>
      </c>
      <c r="N373" s="532">
        <f t="shared" si="12"/>
        <v>4862</v>
      </c>
      <c r="O373" s="532">
        <f t="shared" si="13"/>
        <v>962</v>
      </c>
      <c r="P373" s="532">
        <f t="shared" si="14"/>
        <v>4975</v>
      </c>
      <c r="W373" s="532"/>
      <c r="X373" s="264"/>
      <c r="Y373" s="264"/>
      <c r="Z373" s="264"/>
    </row>
    <row r="374" spans="1:26" s="260" customFormat="1" ht="15.75">
      <c r="A374" s="518" t="s">
        <v>457</v>
      </c>
      <c r="B374" s="522">
        <f>B16+B73+B117</f>
        <v>8531</v>
      </c>
      <c r="C374" s="522">
        <f>C16+C73+C117</f>
        <v>2480</v>
      </c>
      <c r="D374" s="522">
        <f>D16+D73+D117</f>
        <v>341</v>
      </c>
      <c r="E374" s="522">
        <f>E16+E73+E117</f>
        <v>1969</v>
      </c>
      <c r="F374" s="522">
        <f>F16+F73+F117</f>
        <v>0</v>
      </c>
      <c r="G374" s="260">
        <f t="shared" si="9"/>
        <v>190</v>
      </c>
      <c r="H374" s="260">
        <v>17</v>
      </c>
      <c r="I374" s="260">
        <v>5</v>
      </c>
      <c r="J374" s="260">
        <v>58</v>
      </c>
      <c r="K374" s="531">
        <f>SUM(H374:J374)</f>
        <v>80</v>
      </c>
      <c r="M374" s="532">
        <f t="shared" si="11"/>
        <v>8721</v>
      </c>
      <c r="N374" s="532">
        <f t="shared" si="12"/>
        <v>2497</v>
      </c>
      <c r="O374" s="532">
        <f t="shared" si="13"/>
        <v>346</v>
      </c>
      <c r="P374" s="532">
        <f t="shared" si="14"/>
        <v>2027</v>
      </c>
      <c r="W374" s="525"/>
      <c r="X374" s="264"/>
      <c r="Y374" s="264"/>
      <c r="Z374" s="264"/>
    </row>
    <row r="375" spans="1:26" s="260" customFormat="1" ht="15.75">
      <c r="A375" s="519" t="s">
        <v>458</v>
      </c>
      <c r="B375" s="522">
        <f>B17</f>
        <v>989</v>
      </c>
      <c r="C375" s="522">
        <f>C17</f>
        <v>600</v>
      </c>
      <c r="D375" s="522">
        <f>D17</f>
        <v>0</v>
      </c>
      <c r="E375" s="522">
        <f>E17</f>
        <v>134</v>
      </c>
      <c r="F375" s="522">
        <f>F17</f>
        <v>0</v>
      </c>
      <c r="G375" s="260">
        <f t="shared" si="9"/>
        <v>72</v>
      </c>
      <c r="H375" s="260">
        <v>14</v>
      </c>
      <c r="J375" s="260">
        <v>20</v>
      </c>
      <c r="K375" s="531">
        <f t="shared" si="10"/>
        <v>34</v>
      </c>
      <c r="M375" s="532">
        <f t="shared" si="11"/>
        <v>1061</v>
      </c>
      <c r="N375" s="532">
        <f t="shared" si="12"/>
        <v>614</v>
      </c>
      <c r="O375" s="532">
        <f t="shared" si="13"/>
        <v>0</v>
      </c>
      <c r="P375" s="532">
        <f t="shared" si="14"/>
        <v>154</v>
      </c>
      <c r="W375" s="525"/>
      <c r="X375" s="264"/>
      <c r="Y375" s="264"/>
      <c r="Z375" s="264"/>
    </row>
    <row r="376" spans="1:26" s="260" customFormat="1" ht="15.75">
      <c r="A376" s="519" t="s">
        <v>459</v>
      </c>
      <c r="B376" s="522">
        <f>B118</f>
        <v>2438</v>
      </c>
      <c r="C376" s="522">
        <f>C118</f>
        <v>631</v>
      </c>
      <c r="D376" s="522">
        <f>D118</f>
        <v>171</v>
      </c>
      <c r="E376" s="522">
        <f>E118</f>
        <v>564</v>
      </c>
      <c r="F376" s="522">
        <f>F118</f>
        <v>0</v>
      </c>
      <c r="G376" s="260">
        <f t="shared" si="9"/>
        <v>12</v>
      </c>
      <c r="H376" s="260">
        <v>0</v>
      </c>
      <c r="I376" s="260">
        <v>0</v>
      </c>
      <c r="J376" s="260">
        <v>4</v>
      </c>
      <c r="K376" s="531">
        <f t="shared" si="10"/>
        <v>4</v>
      </c>
      <c r="M376" s="532">
        <f t="shared" si="11"/>
        <v>2450</v>
      </c>
      <c r="N376" s="532">
        <f t="shared" si="12"/>
        <v>631</v>
      </c>
      <c r="O376" s="532">
        <f t="shared" si="13"/>
        <v>171</v>
      </c>
      <c r="P376" s="532">
        <f t="shared" si="14"/>
        <v>568</v>
      </c>
      <c r="W376" s="532"/>
      <c r="X376" s="264"/>
      <c r="Y376" s="264"/>
      <c r="Z376" s="264"/>
    </row>
    <row r="377" spans="1:26" s="260" customFormat="1" ht="15.75">
      <c r="A377" s="518" t="s">
        <v>460</v>
      </c>
      <c r="B377" s="522">
        <f>B18+B49+B119</f>
        <v>34251</v>
      </c>
      <c r="C377" s="522">
        <f>C18+C49+C119</f>
        <v>8781</v>
      </c>
      <c r="D377" s="522">
        <f>D18+D49+D119</f>
        <v>573</v>
      </c>
      <c r="E377" s="522">
        <f>E18+E49+E119</f>
        <v>8245</v>
      </c>
      <c r="F377" s="522">
        <f>F18+F49+F119</f>
        <v>986</v>
      </c>
      <c r="G377" s="260">
        <f t="shared" si="9"/>
        <v>508</v>
      </c>
      <c r="H377" s="260">
        <v>218</v>
      </c>
      <c r="I377" s="260">
        <v>0</v>
      </c>
      <c r="J377" s="260">
        <v>100</v>
      </c>
      <c r="K377" s="531">
        <f t="shared" si="10"/>
        <v>318</v>
      </c>
      <c r="M377" s="532">
        <f t="shared" si="11"/>
        <v>34759</v>
      </c>
      <c r="N377" s="532">
        <f t="shared" si="12"/>
        <v>8999</v>
      </c>
      <c r="O377" s="532">
        <f t="shared" si="13"/>
        <v>573</v>
      </c>
      <c r="P377" s="532">
        <f t="shared" si="14"/>
        <v>8345</v>
      </c>
      <c r="W377" s="532"/>
      <c r="X377" s="264"/>
      <c r="Y377" s="264"/>
      <c r="Z377" s="264"/>
    </row>
    <row r="378" spans="1:26" s="260" customFormat="1" ht="15.75">
      <c r="A378" s="520" t="s">
        <v>461</v>
      </c>
      <c r="B378" s="522">
        <f>B19+B80+B120</f>
        <v>13169</v>
      </c>
      <c r="C378" s="522">
        <f>C19+C80+C120</f>
        <v>3445</v>
      </c>
      <c r="D378" s="522">
        <f>D19+D80+D120</f>
        <v>1249</v>
      </c>
      <c r="E378" s="522">
        <f>E19+E80+E120</f>
        <v>2692</v>
      </c>
      <c r="F378" s="522">
        <f>F19+F80+F120</f>
        <v>669</v>
      </c>
      <c r="G378" s="260">
        <f t="shared" si="9"/>
        <v>293</v>
      </c>
      <c r="H378" s="260">
        <v>100</v>
      </c>
      <c r="I378" s="260">
        <v>10</v>
      </c>
      <c r="J378" s="260">
        <v>63</v>
      </c>
      <c r="K378" s="531">
        <f t="shared" si="10"/>
        <v>173</v>
      </c>
      <c r="M378" s="532">
        <f t="shared" si="11"/>
        <v>13462</v>
      </c>
      <c r="N378" s="532">
        <f t="shared" si="12"/>
        <v>3545</v>
      </c>
      <c r="O378" s="532">
        <f t="shared" si="13"/>
        <v>1259</v>
      </c>
      <c r="P378" s="532">
        <f t="shared" si="14"/>
        <v>2755</v>
      </c>
      <c r="W378" s="532"/>
      <c r="X378" s="264"/>
      <c r="Y378" s="264"/>
      <c r="Z378" s="264"/>
    </row>
    <row r="379" spans="1:26" s="260" customFormat="1" ht="15.75">
      <c r="A379" s="518" t="s">
        <v>462</v>
      </c>
      <c r="B379" s="522">
        <f>B20+B74+B122</f>
        <v>14488</v>
      </c>
      <c r="C379" s="522">
        <f>C20+C74+C122</f>
        <v>3260</v>
      </c>
      <c r="D379" s="522">
        <f>D20+D74+D122</f>
        <v>611</v>
      </c>
      <c r="E379" s="522">
        <f>E20+E74+E122</f>
        <v>3528</v>
      </c>
      <c r="F379" s="522">
        <f>F20+F74+F122</f>
        <v>387</v>
      </c>
      <c r="G379" s="260">
        <f t="shared" si="9"/>
        <v>371</v>
      </c>
      <c r="H379" s="260">
        <v>180</v>
      </c>
      <c r="I379" s="260">
        <v>20</v>
      </c>
      <c r="J379" s="260">
        <v>59</v>
      </c>
      <c r="K379" s="531">
        <f t="shared" si="10"/>
        <v>259</v>
      </c>
      <c r="M379" s="532">
        <f t="shared" si="11"/>
        <v>14859</v>
      </c>
      <c r="N379" s="532">
        <f t="shared" si="12"/>
        <v>3440</v>
      </c>
      <c r="O379" s="532">
        <f t="shared" si="13"/>
        <v>631</v>
      </c>
      <c r="P379" s="532">
        <f t="shared" si="14"/>
        <v>3587</v>
      </c>
      <c r="W379" s="532"/>
      <c r="X379" s="264"/>
      <c r="Y379" s="264"/>
      <c r="Z379" s="264"/>
    </row>
    <row r="380" spans="1:26" s="260" customFormat="1" ht="15.75">
      <c r="A380" s="519" t="s">
        <v>463</v>
      </c>
      <c r="B380" s="522">
        <f>B339</f>
        <v>350</v>
      </c>
      <c r="C380" s="522">
        <f>C339</f>
        <v>89</v>
      </c>
      <c r="D380" s="522">
        <f>D339</f>
        <v>0</v>
      </c>
      <c r="E380" s="522">
        <f>E339</f>
        <v>90</v>
      </c>
      <c r="F380" s="522">
        <f>F339</f>
        <v>0</v>
      </c>
      <c r="G380" s="260">
        <f t="shared" si="9"/>
        <v>23</v>
      </c>
      <c r="H380" s="260">
        <v>11</v>
      </c>
      <c r="I380" s="260">
        <v>0</v>
      </c>
      <c r="J380" s="260">
        <v>4</v>
      </c>
      <c r="K380" s="531">
        <f t="shared" si="10"/>
        <v>15</v>
      </c>
      <c r="M380" s="532">
        <f t="shared" si="11"/>
        <v>373</v>
      </c>
      <c r="N380" s="532">
        <f t="shared" si="12"/>
        <v>100</v>
      </c>
      <c r="O380" s="532">
        <f t="shared" si="13"/>
        <v>0</v>
      </c>
      <c r="P380" s="532">
        <f t="shared" si="14"/>
        <v>94</v>
      </c>
      <c r="W380" s="525"/>
      <c r="X380" s="264"/>
      <c r="Y380" s="264"/>
      <c r="Z380" s="264"/>
    </row>
    <row r="381" spans="1:26" s="260" customFormat="1" ht="15.75">
      <c r="A381" s="519" t="s">
        <v>481</v>
      </c>
      <c r="B381" s="522">
        <f>B351+B121</f>
        <v>1151</v>
      </c>
      <c r="C381" s="522">
        <f>C351+C121</f>
        <v>0</v>
      </c>
      <c r="D381" s="522">
        <f>D351+D121</f>
        <v>0</v>
      </c>
      <c r="E381" s="522">
        <f>E351+E121</f>
        <v>397</v>
      </c>
      <c r="F381" s="522">
        <f>F351+F121</f>
        <v>0</v>
      </c>
      <c r="G381" s="260">
        <f t="shared" si="9"/>
        <v>0</v>
      </c>
      <c r="H381" s="260">
        <v>0</v>
      </c>
      <c r="I381" s="260">
        <v>0</v>
      </c>
      <c r="J381" s="260">
        <v>0</v>
      </c>
      <c r="K381" s="531">
        <f t="shared" si="10"/>
        <v>0</v>
      </c>
      <c r="M381" s="532">
        <f t="shared" si="11"/>
        <v>1151</v>
      </c>
      <c r="N381" s="532">
        <f t="shared" si="12"/>
        <v>0</v>
      </c>
      <c r="O381" s="532">
        <f t="shared" si="13"/>
        <v>0</v>
      </c>
      <c r="P381" s="532">
        <f t="shared" si="14"/>
        <v>397</v>
      </c>
      <c r="W381" s="532"/>
      <c r="X381" s="264"/>
      <c r="Y381" s="264"/>
      <c r="Z381" s="264"/>
    </row>
    <row r="382" spans="1:26" s="260" customFormat="1" ht="15.75">
      <c r="A382" s="518" t="s">
        <v>464</v>
      </c>
      <c r="B382" s="522">
        <f>B21+B81+B123</f>
        <v>41889</v>
      </c>
      <c r="C382" s="522">
        <f>C21+C81+C123</f>
        <v>10712</v>
      </c>
      <c r="D382" s="522">
        <f>D21+D81+D123</f>
        <v>1709</v>
      </c>
      <c r="E382" s="522">
        <f>E21+E81+E123</f>
        <v>9275</v>
      </c>
      <c r="F382" s="522">
        <f>F21+F81+F123</f>
        <v>2570</v>
      </c>
      <c r="G382" s="260">
        <f t="shared" si="9"/>
        <v>509</v>
      </c>
      <c r="H382" s="260">
        <v>350</v>
      </c>
      <c r="I382" s="260">
        <v>14</v>
      </c>
      <c r="J382" s="260">
        <v>50</v>
      </c>
      <c r="K382" s="531">
        <f t="shared" si="10"/>
        <v>414</v>
      </c>
      <c r="M382" s="532">
        <f t="shared" si="11"/>
        <v>42398</v>
      </c>
      <c r="N382" s="532">
        <f t="shared" si="12"/>
        <v>11062</v>
      </c>
      <c r="O382" s="532">
        <f t="shared" si="13"/>
        <v>1723</v>
      </c>
      <c r="P382" s="532">
        <f t="shared" si="14"/>
        <v>9325</v>
      </c>
      <c r="W382" s="532"/>
      <c r="X382" s="264"/>
      <c r="Y382" s="264"/>
      <c r="Z382" s="264"/>
    </row>
    <row r="383" spans="1:26" s="260" customFormat="1" ht="15.75">
      <c r="A383" s="519" t="s">
        <v>465</v>
      </c>
      <c r="B383" s="521">
        <f>B22</f>
        <v>2442</v>
      </c>
      <c r="C383" s="521">
        <f>C22</f>
        <v>683</v>
      </c>
      <c r="D383" s="521">
        <f>D22</f>
        <v>4</v>
      </c>
      <c r="E383" s="521">
        <f>E22</f>
        <v>605</v>
      </c>
      <c r="F383" s="521">
        <f>F22</f>
        <v>0</v>
      </c>
      <c r="G383" s="260">
        <f t="shared" si="9"/>
        <v>128</v>
      </c>
      <c r="H383" s="260">
        <v>7</v>
      </c>
      <c r="I383" s="260">
        <v>5</v>
      </c>
      <c r="J383" s="260">
        <v>40</v>
      </c>
      <c r="K383" s="531">
        <f t="shared" si="10"/>
        <v>52</v>
      </c>
      <c r="M383" s="532">
        <f t="shared" si="11"/>
        <v>2570</v>
      </c>
      <c r="N383" s="532">
        <f t="shared" si="12"/>
        <v>690</v>
      </c>
      <c r="O383" s="532">
        <f t="shared" si="13"/>
        <v>9</v>
      </c>
      <c r="P383" s="532">
        <f t="shared" si="14"/>
        <v>645</v>
      </c>
      <c r="W383" s="525"/>
      <c r="X383" s="264"/>
      <c r="Y383" s="264"/>
      <c r="Z383" s="264"/>
    </row>
    <row r="384" spans="1:26" s="260" customFormat="1" ht="15.75">
      <c r="A384" s="518" t="s">
        <v>466</v>
      </c>
      <c r="B384" s="522">
        <f>B23+B82</f>
        <v>929</v>
      </c>
      <c r="C384" s="522">
        <f>C23+C82</f>
        <v>430</v>
      </c>
      <c r="D384" s="522">
        <f>D23+D82</f>
        <v>0</v>
      </c>
      <c r="E384" s="522">
        <f>E23+E82</f>
        <v>172</v>
      </c>
      <c r="F384" s="522">
        <f>F23+F82</f>
        <v>0</v>
      </c>
      <c r="G384" s="260">
        <f t="shared" si="9"/>
        <v>80</v>
      </c>
      <c r="H384" s="260">
        <v>15</v>
      </c>
      <c r="I384" s="260">
        <v>7</v>
      </c>
      <c r="J384" s="260">
        <v>20</v>
      </c>
      <c r="K384" s="531">
        <f t="shared" si="10"/>
        <v>42</v>
      </c>
      <c r="M384" s="532">
        <f t="shared" si="11"/>
        <v>1009</v>
      </c>
      <c r="N384" s="532">
        <f t="shared" si="12"/>
        <v>445</v>
      </c>
      <c r="O384" s="532">
        <f t="shared" si="13"/>
        <v>7</v>
      </c>
      <c r="P384" s="532">
        <f t="shared" si="14"/>
        <v>192</v>
      </c>
      <c r="W384" s="525"/>
      <c r="X384" s="264"/>
      <c r="Y384" s="264"/>
      <c r="Z384" s="264"/>
    </row>
    <row r="385" spans="1:26" s="260" customFormat="1" ht="15.75">
      <c r="A385" s="518" t="s">
        <v>467</v>
      </c>
      <c r="B385" s="522">
        <f>B24+B52+B75</f>
        <v>26244</v>
      </c>
      <c r="C385" s="522">
        <f>C24+C52+C75</f>
        <v>4223</v>
      </c>
      <c r="D385" s="522">
        <f>D24+D52+D75</f>
        <v>187</v>
      </c>
      <c r="E385" s="522">
        <f>E24+E52+E75</f>
        <v>6400</v>
      </c>
      <c r="F385" s="522">
        <f>F24+F52+F75</f>
        <v>3274</v>
      </c>
      <c r="G385" s="260">
        <f t="shared" si="9"/>
        <v>906</v>
      </c>
      <c r="H385" s="260">
        <v>500</v>
      </c>
      <c r="J385" s="260">
        <v>140</v>
      </c>
      <c r="K385" s="531">
        <f t="shared" si="10"/>
        <v>640</v>
      </c>
      <c r="M385" s="532">
        <f t="shared" si="11"/>
        <v>27150</v>
      </c>
      <c r="N385" s="532">
        <f t="shared" si="12"/>
        <v>4723</v>
      </c>
      <c r="O385" s="532">
        <f t="shared" si="13"/>
        <v>187</v>
      </c>
      <c r="P385" s="532">
        <f t="shared" si="14"/>
        <v>6540</v>
      </c>
      <c r="W385" s="532"/>
      <c r="X385" s="264"/>
      <c r="Y385" s="264"/>
      <c r="Z385" s="264"/>
    </row>
    <row r="386" spans="1:26" s="260" customFormat="1" ht="15.75">
      <c r="A386" s="518" t="s">
        <v>468</v>
      </c>
      <c r="B386" s="522">
        <f>B25+B83+B124+B340</f>
        <v>30557</v>
      </c>
      <c r="C386" s="522">
        <f>C25+C83+C124+C340</f>
        <v>9067</v>
      </c>
      <c r="D386" s="522">
        <f>D25+D83+D124+D340</f>
        <v>1384</v>
      </c>
      <c r="E386" s="522">
        <f>E25+E83+E124+E340</f>
        <v>6739</v>
      </c>
      <c r="F386" s="522">
        <f>F25+F83+F124+F340</f>
        <v>563</v>
      </c>
      <c r="G386" s="260">
        <f t="shared" si="9"/>
        <v>602</v>
      </c>
      <c r="H386" s="260">
        <v>300</v>
      </c>
      <c r="I386" s="260">
        <v>50</v>
      </c>
      <c r="J386" s="260">
        <v>87</v>
      </c>
      <c r="K386" s="531">
        <f t="shared" si="10"/>
        <v>437</v>
      </c>
      <c r="M386" s="532">
        <f t="shared" si="11"/>
        <v>31159</v>
      </c>
      <c r="N386" s="532">
        <f t="shared" si="12"/>
        <v>9367</v>
      </c>
      <c r="O386" s="532">
        <f t="shared" si="13"/>
        <v>1434</v>
      </c>
      <c r="P386" s="532">
        <f t="shared" si="14"/>
        <v>6826</v>
      </c>
      <c r="W386" s="532"/>
      <c r="X386" s="264"/>
      <c r="Y386" s="264"/>
      <c r="Z386" s="264"/>
    </row>
    <row r="387" spans="1:26" s="260" customFormat="1" ht="15.75">
      <c r="A387" s="518" t="s">
        <v>469</v>
      </c>
      <c r="B387" s="522">
        <f>B26+B84+B97+B125+B355</f>
        <v>35940</v>
      </c>
      <c r="C387" s="522">
        <f>C26+C84+C97+C125+C355</f>
        <v>10149</v>
      </c>
      <c r="D387" s="522">
        <f>D26+D84+D97+D125+D355</f>
        <v>1474</v>
      </c>
      <c r="E387" s="522">
        <f>E26+E84+E97+E125+E355</f>
        <v>7948</v>
      </c>
      <c r="F387" s="522">
        <f>F26+F84+F97+F125+F355</f>
        <v>1267</v>
      </c>
      <c r="G387" s="260">
        <f t="shared" si="9"/>
        <v>741</v>
      </c>
      <c r="H387" s="260">
        <v>300</v>
      </c>
      <c r="I387" s="260">
        <v>70</v>
      </c>
      <c r="J387" s="260">
        <v>128</v>
      </c>
      <c r="K387" s="531">
        <f t="shared" si="10"/>
        <v>498</v>
      </c>
      <c r="M387" s="532">
        <f t="shared" si="11"/>
        <v>36681</v>
      </c>
      <c r="N387" s="532">
        <f t="shared" si="12"/>
        <v>10449</v>
      </c>
      <c r="O387" s="532">
        <f t="shared" si="13"/>
        <v>1544</v>
      </c>
      <c r="P387" s="532">
        <f t="shared" si="14"/>
        <v>8076</v>
      </c>
      <c r="W387" s="532"/>
      <c r="X387" s="264"/>
      <c r="Y387" s="264"/>
      <c r="Z387" s="264"/>
    </row>
    <row r="388" spans="1:26" s="260" customFormat="1" ht="15.75">
      <c r="A388" s="518" t="s">
        <v>470</v>
      </c>
      <c r="B388" s="522">
        <f>B27+B85+B143</f>
        <v>193855</v>
      </c>
      <c r="C388" s="522">
        <f>C27+C85+C143</f>
        <v>70704</v>
      </c>
      <c r="D388" s="522">
        <f>D27+D85+D143</f>
        <v>18792</v>
      </c>
      <c r="E388" s="522">
        <f>E27+E85+E143</f>
        <v>35986</v>
      </c>
      <c r="F388" s="522">
        <f>F27+F85+F143</f>
        <v>0</v>
      </c>
      <c r="G388" s="260">
        <f t="shared" si="9"/>
        <v>1696</v>
      </c>
      <c r="H388" s="260">
        <v>800</v>
      </c>
      <c r="I388" s="260">
        <v>200</v>
      </c>
      <c r="J388" s="260">
        <v>240</v>
      </c>
      <c r="K388" s="531">
        <f t="shared" si="10"/>
        <v>1240</v>
      </c>
      <c r="M388" s="532">
        <f t="shared" si="11"/>
        <v>195551</v>
      </c>
      <c r="N388" s="532">
        <f t="shared" si="12"/>
        <v>71504</v>
      </c>
      <c r="O388" s="532">
        <f t="shared" si="13"/>
        <v>18992</v>
      </c>
      <c r="P388" s="532">
        <f t="shared" si="14"/>
        <v>36226</v>
      </c>
      <c r="W388" s="532"/>
      <c r="X388" s="264"/>
      <c r="Y388" s="264"/>
      <c r="Z388" s="264"/>
    </row>
    <row r="389" spans="1:26" s="260" customFormat="1" ht="15.75">
      <c r="A389" s="518" t="s">
        <v>471</v>
      </c>
      <c r="B389" s="522">
        <f>B32+B126</f>
        <v>2893</v>
      </c>
      <c r="C389" s="522">
        <f>C32+C126</f>
        <v>862</v>
      </c>
      <c r="D389" s="522">
        <f>D32+D126</f>
        <v>68</v>
      </c>
      <c r="E389" s="522">
        <f>E32+E126</f>
        <v>677</v>
      </c>
      <c r="F389" s="522">
        <f>F32+F126</f>
        <v>0</v>
      </c>
      <c r="G389" s="260">
        <f t="shared" si="9"/>
        <v>54</v>
      </c>
      <c r="H389" s="260">
        <v>8</v>
      </c>
      <c r="I389" s="260">
        <v>2</v>
      </c>
      <c r="J389" s="260">
        <v>15</v>
      </c>
      <c r="K389" s="531">
        <f t="shared" si="10"/>
        <v>25</v>
      </c>
      <c r="M389" s="532">
        <f t="shared" si="11"/>
        <v>2947</v>
      </c>
      <c r="N389" s="532">
        <f t="shared" si="12"/>
        <v>870</v>
      </c>
      <c r="O389" s="532">
        <f t="shared" si="13"/>
        <v>70</v>
      </c>
      <c r="P389" s="532">
        <f t="shared" si="14"/>
        <v>692</v>
      </c>
      <c r="W389" s="525"/>
      <c r="X389" s="264"/>
      <c r="Y389" s="264"/>
      <c r="Z389" s="264"/>
    </row>
    <row r="390" spans="1:26" s="260" customFormat="1" ht="15.75">
      <c r="A390" s="518" t="s">
        <v>472</v>
      </c>
      <c r="B390" s="522">
        <f aca="true" t="shared" si="15" ref="B390:F391">B33</f>
        <v>1120</v>
      </c>
      <c r="C390" s="522">
        <f t="shared" si="15"/>
        <v>528</v>
      </c>
      <c r="D390" s="522">
        <f t="shared" si="15"/>
        <v>0</v>
      </c>
      <c r="E390" s="522">
        <f t="shared" si="15"/>
        <v>204</v>
      </c>
      <c r="F390" s="522">
        <f t="shared" si="15"/>
        <v>0</v>
      </c>
      <c r="G390" s="260">
        <f t="shared" si="9"/>
        <v>93</v>
      </c>
      <c r="H390" s="260">
        <v>0</v>
      </c>
      <c r="I390" s="260">
        <v>0</v>
      </c>
      <c r="J390" s="260">
        <v>32</v>
      </c>
      <c r="K390" s="531">
        <f t="shared" si="10"/>
        <v>32</v>
      </c>
      <c r="M390" s="532">
        <f t="shared" si="11"/>
        <v>1213</v>
      </c>
      <c r="N390" s="532">
        <f t="shared" si="12"/>
        <v>528</v>
      </c>
      <c r="O390" s="532">
        <f t="shared" si="13"/>
        <v>0</v>
      </c>
      <c r="P390" s="532">
        <f t="shared" si="14"/>
        <v>236</v>
      </c>
      <c r="W390" s="532"/>
      <c r="X390" s="264"/>
      <c r="Y390" s="264"/>
      <c r="Z390" s="264"/>
    </row>
    <row r="391" spans="1:26" s="260" customFormat="1" ht="15.75">
      <c r="A391" s="519" t="s">
        <v>473</v>
      </c>
      <c r="B391" s="522">
        <f t="shared" si="15"/>
        <v>1966</v>
      </c>
      <c r="C391" s="522">
        <f t="shared" si="15"/>
        <v>545</v>
      </c>
      <c r="D391" s="522">
        <f t="shared" si="15"/>
        <v>0</v>
      </c>
      <c r="E391" s="522">
        <f t="shared" si="15"/>
        <v>490</v>
      </c>
      <c r="F391" s="522">
        <f t="shared" si="15"/>
        <v>0</v>
      </c>
      <c r="G391" s="260">
        <f t="shared" si="9"/>
        <v>31</v>
      </c>
      <c r="H391" s="260">
        <v>8</v>
      </c>
      <c r="I391" s="260">
        <v>0</v>
      </c>
      <c r="J391" s="260">
        <v>8</v>
      </c>
      <c r="K391" s="531">
        <f t="shared" si="10"/>
        <v>16</v>
      </c>
      <c r="M391" s="532">
        <f t="shared" si="11"/>
        <v>1997</v>
      </c>
      <c r="N391" s="532">
        <f t="shared" si="12"/>
        <v>553</v>
      </c>
      <c r="O391" s="532">
        <f t="shared" si="13"/>
        <v>0</v>
      </c>
      <c r="P391" s="532">
        <f t="shared" si="14"/>
        <v>498</v>
      </c>
      <c r="W391" s="525"/>
      <c r="X391" s="264"/>
      <c r="Y391" s="264"/>
      <c r="Z391" s="264"/>
    </row>
    <row r="392" spans="1:26" s="260" customFormat="1" ht="15.75">
      <c r="A392" s="518" t="s">
        <v>35</v>
      </c>
      <c r="B392" s="522">
        <f>B35+B127+B322+B325+B329+B333+B341+B349+B345</f>
        <v>250684</v>
      </c>
      <c r="C392" s="522">
        <f>C35+C127+C322+C325+C329+C333+C341+C349+C345</f>
        <v>65085</v>
      </c>
      <c r="D392" s="522">
        <f>D35+D127+D322+D325+D329+D333+D341+D349+D345</f>
        <v>14427</v>
      </c>
      <c r="E392" s="522">
        <f>E35+E127+E322+E325+E329+E333+E341+E349+E345</f>
        <v>59025</v>
      </c>
      <c r="F392" s="522">
        <f>F35+F127+F322+F325+F329+F333+F341+F349+F345</f>
        <v>0</v>
      </c>
      <c r="G392" s="260">
        <f t="shared" si="9"/>
        <v>1156</v>
      </c>
      <c r="H392" s="260">
        <v>418</v>
      </c>
      <c r="I392" s="260">
        <v>500</v>
      </c>
      <c r="J392" s="260">
        <v>82</v>
      </c>
      <c r="K392" s="531">
        <f t="shared" si="10"/>
        <v>1000</v>
      </c>
      <c r="M392" s="532">
        <f t="shared" si="11"/>
        <v>251840</v>
      </c>
      <c r="N392" s="532">
        <f t="shared" si="12"/>
        <v>65503</v>
      </c>
      <c r="O392" s="532">
        <f t="shared" si="13"/>
        <v>14927</v>
      </c>
      <c r="P392" s="532">
        <f t="shared" si="14"/>
        <v>59107</v>
      </c>
      <c r="Q392" s="264">
        <f>N392+N398</f>
        <v>65728</v>
      </c>
      <c r="R392" s="264">
        <f>O392+O398</f>
        <v>14985</v>
      </c>
      <c r="S392" s="264">
        <f>P392+P398</f>
        <v>59310</v>
      </c>
      <c r="W392" s="532"/>
      <c r="X392" s="264"/>
      <c r="Y392" s="264"/>
      <c r="Z392" s="264"/>
    </row>
    <row r="393" spans="1:26" s="260" customFormat="1" ht="15.75">
      <c r="A393" s="518" t="s">
        <v>482</v>
      </c>
      <c r="B393" s="522">
        <f>B36+B44+B91+B98+B130</f>
        <v>56970</v>
      </c>
      <c r="C393" s="522">
        <f>C36+C44+C91+C98+C130</f>
        <v>37874</v>
      </c>
      <c r="D393" s="522">
        <f>D36+D44+D91+D98+D130</f>
        <v>2195</v>
      </c>
      <c r="E393" s="522">
        <f>E36+E44+E91+E98+E130</f>
        <v>5828</v>
      </c>
      <c r="F393" s="522">
        <f>F36+F44+F91+F98+F130</f>
        <v>0</v>
      </c>
      <c r="G393" s="260">
        <f t="shared" si="9"/>
        <v>0</v>
      </c>
      <c r="K393" s="531">
        <f t="shared" si="10"/>
        <v>0</v>
      </c>
      <c r="M393" s="532">
        <f t="shared" si="11"/>
        <v>56970</v>
      </c>
      <c r="N393" s="532">
        <f t="shared" si="12"/>
        <v>37874</v>
      </c>
      <c r="O393" s="532">
        <f t="shared" si="13"/>
        <v>2195</v>
      </c>
      <c r="P393" s="532">
        <f t="shared" si="14"/>
        <v>5828</v>
      </c>
      <c r="W393" s="525"/>
      <c r="X393" s="264"/>
      <c r="Y393" s="264"/>
      <c r="Z393" s="264"/>
    </row>
    <row r="394" spans="1:26" s="260" customFormat="1" ht="15.75">
      <c r="A394" s="518" t="s">
        <v>474</v>
      </c>
      <c r="B394" s="522">
        <f>B37+B53+B96+B131+B144</f>
        <v>218889</v>
      </c>
      <c r="C394" s="522">
        <f>C37+C53+C96+C131+C144</f>
        <v>64153</v>
      </c>
      <c r="D394" s="522">
        <f>D37+D53+D96+D131+D144</f>
        <v>13070</v>
      </c>
      <c r="E394" s="522">
        <f>E37+E53+E96+E131+E144</f>
        <v>41735</v>
      </c>
      <c r="F394" s="522">
        <f>F37+F53+F96+F131+F144</f>
        <v>20635</v>
      </c>
      <c r="G394" s="260">
        <f t="shared" si="9"/>
        <v>5983</v>
      </c>
      <c r="H394" s="260">
        <v>3011</v>
      </c>
      <c r="I394" s="260">
        <v>400</v>
      </c>
      <c r="J394" s="260">
        <v>887</v>
      </c>
      <c r="K394" s="531">
        <f>SUM(H394:J394)</f>
        <v>4298</v>
      </c>
      <c r="M394" s="532">
        <f t="shared" si="11"/>
        <v>224872</v>
      </c>
      <c r="N394" s="532">
        <f t="shared" si="12"/>
        <v>67164</v>
      </c>
      <c r="O394" s="532">
        <f t="shared" si="13"/>
        <v>13470</v>
      </c>
      <c r="P394" s="532">
        <f t="shared" si="14"/>
        <v>42622</v>
      </c>
      <c r="Q394" s="264">
        <f>N394+N373</f>
        <v>72026</v>
      </c>
      <c r="R394" s="264">
        <f>O394+O373</f>
        <v>14432</v>
      </c>
      <c r="S394" s="264">
        <f>P394+P373</f>
        <v>47597</v>
      </c>
      <c r="W394" s="532"/>
      <c r="X394" s="264"/>
      <c r="Y394" s="264"/>
      <c r="Z394" s="264"/>
    </row>
    <row r="395" spans="1:26" s="260" customFormat="1" ht="15.75">
      <c r="A395" s="518" t="s">
        <v>475</v>
      </c>
      <c r="B395" s="522">
        <f>B42+B90+B136</f>
        <v>39249</v>
      </c>
      <c r="C395" s="522">
        <f>C42+C90+C136</f>
        <v>11390</v>
      </c>
      <c r="D395" s="522">
        <f>D42+D90+D136</f>
        <v>3488</v>
      </c>
      <c r="E395" s="522">
        <f>E42+E90+E136</f>
        <v>8343</v>
      </c>
      <c r="F395" s="522">
        <f>F42+F90+F136</f>
        <v>176</v>
      </c>
      <c r="G395" s="260">
        <f t="shared" si="9"/>
        <v>1427</v>
      </c>
      <c r="H395" s="260">
        <v>357</v>
      </c>
      <c r="I395" s="260">
        <v>200</v>
      </c>
      <c r="J395" s="260">
        <v>300</v>
      </c>
      <c r="K395" s="531">
        <f t="shared" si="10"/>
        <v>857</v>
      </c>
      <c r="M395" s="532">
        <f t="shared" si="11"/>
        <v>40676</v>
      </c>
      <c r="N395" s="532">
        <f t="shared" si="12"/>
        <v>11747</v>
      </c>
      <c r="O395" s="532">
        <f t="shared" si="13"/>
        <v>3688</v>
      </c>
      <c r="P395" s="532">
        <f t="shared" si="14"/>
        <v>8643</v>
      </c>
      <c r="W395" s="525"/>
      <c r="X395" s="264"/>
      <c r="Y395" s="264"/>
      <c r="Z395" s="264"/>
    </row>
    <row r="396" spans="1:26" s="260" customFormat="1" ht="15.75">
      <c r="A396" s="518" t="s">
        <v>476</v>
      </c>
      <c r="B396" s="522">
        <f>B43+B76+B137+B337+B336</f>
        <v>15464</v>
      </c>
      <c r="C396" s="522">
        <f>C43+C76+C137+C337+C336</f>
        <v>4289</v>
      </c>
      <c r="D396" s="522">
        <f>D43+D76+D137+D337+D336</f>
        <v>706</v>
      </c>
      <c r="E396" s="522">
        <f>E43+E76+E137+E337+E336</f>
        <v>3525</v>
      </c>
      <c r="F396" s="522">
        <f>F43+F76+F137+F337+F336</f>
        <v>246</v>
      </c>
      <c r="G396" s="260">
        <f t="shared" si="9"/>
        <v>245</v>
      </c>
      <c r="H396" s="260">
        <v>50</v>
      </c>
      <c r="I396" s="260">
        <v>50</v>
      </c>
      <c r="J396" s="260">
        <v>50</v>
      </c>
      <c r="K396" s="531">
        <f t="shared" si="10"/>
        <v>150</v>
      </c>
      <c r="M396" s="532">
        <f t="shared" si="11"/>
        <v>15709</v>
      </c>
      <c r="N396" s="532">
        <f t="shared" si="12"/>
        <v>4339</v>
      </c>
      <c r="O396" s="532">
        <f t="shared" si="13"/>
        <v>756</v>
      </c>
      <c r="P396" s="532">
        <f t="shared" si="14"/>
        <v>3575</v>
      </c>
      <c r="W396" s="532"/>
      <c r="X396" s="264"/>
      <c r="Y396" s="264"/>
      <c r="Z396" s="264"/>
    </row>
    <row r="397" spans="1:26" s="260" customFormat="1" ht="15.75">
      <c r="A397" s="518" t="s">
        <v>477</v>
      </c>
      <c r="B397" s="522">
        <f>B45+B77+B138+B338</f>
        <v>47653</v>
      </c>
      <c r="C397" s="522">
        <f>C45+C77+C138+C338</f>
        <v>11154</v>
      </c>
      <c r="D397" s="522">
        <f>D45+D77+D138+D338</f>
        <v>5593</v>
      </c>
      <c r="E397" s="522">
        <f>E45+E77+E138+E338</f>
        <v>10317</v>
      </c>
      <c r="F397" s="522">
        <f>F45+F77+F138+F338</f>
        <v>986</v>
      </c>
      <c r="G397" s="260">
        <f t="shared" si="9"/>
        <v>4159</v>
      </c>
      <c r="H397" s="260">
        <v>1194</v>
      </c>
      <c r="I397" s="260">
        <v>512</v>
      </c>
      <c r="J397" s="260">
        <v>846</v>
      </c>
      <c r="K397" s="531">
        <f t="shared" si="10"/>
        <v>2552</v>
      </c>
      <c r="M397" s="532">
        <f t="shared" si="11"/>
        <v>51812</v>
      </c>
      <c r="N397" s="532">
        <f t="shared" si="12"/>
        <v>12348</v>
      </c>
      <c r="O397" s="532">
        <f t="shared" si="13"/>
        <v>6105</v>
      </c>
      <c r="P397" s="532">
        <f t="shared" si="14"/>
        <v>11163</v>
      </c>
      <c r="W397" s="532"/>
      <c r="X397" s="264"/>
      <c r="Y397" s="264"/>
      <c r="Z397" s="264"/>
    </row>
    <row r="398" spans="1:26" s="260" customFormat="1" ht="15.75">
      <c r="A398" s="519" t="s">
        <v>478</v>
      </c>
      <c r="B398" s="522">
        <f>B139</f>
        <v>833</v>
      </c>
      <c r="C398" s="522">
        <f>C139</f>
        <v>215</v>
      </c>
      <c r="D398" s="522">
        <f>D139</f>
        <v>58</v>
      </c>
      <c r="E398" s="522">
        <f>E139</f>
        <v>193</v>
      </c>
      <c r="F398" s="522">
        <f>F139</f>
        <v>0</v>
      </c>
      <c r="G398" s="260">
        <f t="shared" si="9"/>
        <v>39</v>
      </c>
      <c r="H398" s="260">
        <v>10</v>
      </c>
      <c r="I398" s="260">
        <v>0</v>
      </c>
      <c r="J398" s="260">
        <v>10</v>
      </c>
      <c r="K398" s="531">
        <f t="shared" si="10"/>
        <v>20</v>
      </c>
      <c r="M398" s="532">
        <f t="shared" si="11"/>
        <v>872</v>
      </c>
      <c r="N398" s="532">
        <f t="shared" si="12"/>
        <v>225</v>
      </c>
      <c r="O398" s="532">
        <f t="shared" si="13"/>
        <v>58</v>
      </c>
      <c r="P398" s="532">
        <f t="shared" si="14"/>
        <v>203</v>
      </c>
      <c r="W398" s="525"/>
      <c r="X398" s="264"/>
      <c r="Y398" s="264"/>
      <c r="Z398" s="264"/>
    </row>
    <row r="399" spans="1:26" s="260" customFormat="1" ht="15.75">
      <c r="A399" s="518" t="s">
        <v>479</v>
      </c>
      <c r="B399" s="522">
        <f>B46+B78+B140</f>
        <v>20880</v>
      </c>
      <c r="C399" s="522">
        <f>C46+C78+C140</f>
        <v>5031</v>
      </c>
      <c r="D399" s="522">
        <f>D46+D78+D140</f>
        <v>1132</v>
      </c>
      <c r="E399" s="522">
        <f>E46+E78+E140</f>
        <v>4613</v>
      </c>
      <c r="F399" s="522">
        <f>F46+F78+F140</f>
        <v>1339</v>
      </c>
      <c r="G399" s="260">
        <f t="shared" si="9"/>
        <v>362</v>
      </c>
      <c r="H399" s="260">
        <v>52</v>
      </c>
      <c r="I399" s="260">
        <v>20</v>
      </c>
      <c r="J399" s="260">
        <v>100</v>
      </c>
      <c r="K399" s="531">
        <f t="shared" si="10"/>
        <v>172</v>
      </c>
      <c r="M399" s="532">
        <f t="shared" si="11"/>
        <v>21242</v>
      </c>
      <c r="N399" s="532">
        <f t="shared" si="12"/>
        <v>5083</v>
      </c>
      <c r="O399" s="532">
        <f t="shared" si="13"/>
        <v>1152</v>
      </c>
      <c r="P399" s="532">
        <f t="shared" si="14"/>
        <v>4713</v>
      </c>
      <c r="W399" s="532"/>
      <c r="X399" s="264"/>
      <c r="Y399" s="264"/>
      <c r="Z399" s="264"/>
    </row>
    <row r="400" spans="1:26" s="260" customFormat="1" ht="15.75">
      <c r="A400" s="523" t="s">
        <v>32</v>
      </c>
      <c r="B400" s="524">
        <f aca="true" t="shared" si="16" ref="B400:J400">SUM(B371:B399)</f>
        <v>1152478</v>
      </c>
      <c r="C400" s="524">
        <f t="shared" si="16"/>
        <v>358892</v>
      </c>
      <c r="D400" s="524">
        <f t="shared" si="16"/>
        <v>70516</v>
      </c>
      <c r="E400" s="524">
        <f t="shared" si="16"/>
        <v>237195</v>
      </c>
      <c r="F400" s="524">
        <f t="shared" si="16"/>
        <v>35204</v>
      </c>
      <c r="G400" s="537">
        <f t="shared" si="16"/>
        <v>21028</v>
      </c>
      <c r="H400" s="537">
        <f t="shared" si="16"/>
        <v>8331</v>
      </c>
      <c r="I400" s="537">
        <f t="shared" si="16"/>
        <v>2115</v>
      </c>
      <c r="J400" s="537">
        <f t="shared" si="16"/>
        <v>3649</v>
      </c>
      <c r="K400" s="531"/>
      <c r="M400" s="538">
        <f>SUM(M371:M399)</f>
        <v>1173506</v>
      </c>
      <c r="N400" s="538">
        <f t="shared" si="12"/>
        <v>367223</v>
      </c>
      <c r="O400" s="538">
        <f t="shared" si="13"/>
        <v>72631</v>
      </c>
      <c r="P400" s="538">
        <f t="shared" si="14"/>
        <v>240844</v>
      </c>
      <c r="W400" s="525"/>
      <c r="X400" s="525"/>
      <c r="Y400" s="525"/>
      <c r="Z400" s="525"/>
    </row>
    <row r="401" spans="2:26" s="260" customFormat="1" ht="15">
      <c r="B401" s="264">
        <f>B400-(B358-B357)</f>
        <v>0</v>
      </c>
      <c r="C401" s="264">
        <f>C400-(C358-C357)</f>
        <v>0</v>
      </c>
      <c r="D401" s="264">
        <f>D400-(D358-D357)</f>
        <v>0</v>
      </c>
      <c r="E401" s="264">
        <f>E400-(E358-E357)</f>
        <v>0</v>
      </c>
      <c r="F401" s="264">
        <f>F400-(F358-F357)</f>
        <v>0</v>
      </c>
      <c r="G401" s="530">
        <f>G400-B357</f>
        <v>0</v>
      </c>
      <c r="H401" s="530">
        <f>H400-C357</f>
        <v>0</v>
      </c>
      <c r="I401" s="530">
        <f>I400-D357</f>
        <v>0</v>
      </c>
      <c r="J401" s="530">
        <f>J400-E357</f>
        <v>0</v>
      </c>
      <c r="N401" s="532">
        <f>N400-C358</f>
        <v>0</v>
      </c>
      <c r="O401" s="532">
        <f>O400-D358</f>
        <v>0</v>
      </c>
      <c r="P401" s="532">
        <f>P400-E358</f>
        <v>0</v>
      </c>
      <c r="W401" s="525"/>
      <c r="Y401" s="264"/>
      <c r="Z401" s="525"/>
    </row>
    <row r="402" spans="1:26" s="260" customFormat="1" ht="15">
      <c r="A402" s="260" t="s">
        <v>506</v>
      </c>
      <c r="B402" s="264">
        <f>SUM(C402:F402)</f>
        <v>1071029.2</v>
      </c>
      <c r="C402" s="341">
        <f>C400-C381-C359</f>
        <v>278595</v>
      </c>
      <c r="D402" s="341">
        <f>D400-D381</f>
        <v>70516</v>
      </c>
      <c r="E402" s="341">
        <f>(E400-E381)*2.9</f>
        <v>686714.2</v>
      </c>
      <c r="F402" s="341">
        <f>F400</f>
        <v>35204</v>
      </c>
      <c r="I402" s="264"/>
      <c r="K402" s="264"/>
      <c r="L402" s="264"/>
      <c r="M402" s="264"/>
      <c r="N402" s="264"/>
      <c r="O402" s="264"/>
      <c r="W402" s="264"/>
      <c r="X402" s="264"/>
      <c r="Y402" s="264"/>
      <c r="Z402" s="264"/>
    </row>
    <row r="403" spans="1:6" s="260" customFormat="1" ht="15">
      <c r="A403" s="260" t="s">
        <v>504</v>
      </c>
      <c r="B403" s="264">
        <f>SUM(C403:F403)</f>
        <v>14095</v>
      </c>
      <c r="C403" s="341">
        <f>C357</f>
        <v>8331</v>
      </c>
      <c r="D403" s="341">
        <f>D357</f>
        <v>2115</v>
      </c>
      <c r="E403" s="341">
        <f>E357</f>
        <v>3649</v>
      </c>
      <c r="F403" s="341">
        <f>F357</f>
        <v>0</v>
      </c>
    </row>
    <row r="404" spans="1:6" s="260" customFormat="1" ht="15">
      <c r="A404" s="260" t="s">
        <v>505</v>
      </c>
      <c r="B404" s="264">
        <f>SUM(C404:E404)</f>
        <v>185414.3</v>
      </c>
      <c r="C404" s="528">
        <f>'1.1. ПРОФ.МЕРОПРИЯТИЯ'!B25+'1.1. ПРОФ.МЕРОПРИЯТИЯ'!G25</f>
        <v>184263</v>
      </c>
      <c r="D404" s="342"/>
      <c r="E404" s="341">
        <f>E381*2.9</f>
        <v>1151.3</v>
      </c>
      <c r="F404" s="341">
        <f>F381*10</f>
        <v>0</v>
      </c>
    </row>
    <row r="405" spans="1:6" s="260" customFormat="1" ht="15">
      <c r="A405" s="260" t="s">
        <v>483</v>
      </c>
      <c r="B405" s="525">
        <f>SUM(B402:B404)</f>
        <v>1270538.5</v>
      </c>
      <c r="C405" s="342"/>
      <c r="D405" s="342"/>
      <c r="E405" s="341"/>
      <c r="F405" s="341"/>
    </row>
    <row r="406" spans="3:6" s="260" customFormat="1" ht="15">
      <c r="C406" s="342"/>
      <c r="D406" s="342"/>
      <c r="E406" s="341"/>
      <c r="F406" s="341"/>
    </row>
    <row r="407" spans="3:6" s="260" customFormat="1" ht="15">
      <c r="C407" s="342"/>
      <c r="D407" s="342"/>
      <c r="E407" s="341"/>
      <c r="F407" s="341"/>
    </row>
    <row r="408" spans="3:6" s="260" customFormat="1" ht="15">
      <c r="C408" s="342"/>
      <c r="D408" s="342"/>
      <c r="E408" s="341"/>
      <c r="F408" s="341"/>
    </row>
    <row r="409" spans="3:6" s="260" customFormat="1" ht="15">
      <c r="C409" s="342"/>
      <c r="D409" s="342"/>
      <c r="E409" s="341"/>
      <c r="F409" s="341"/>
    </row>
    <row r="410" spans="3:6" s="260" customFormat="1" ht="15">
      <c r="C410" s="342"/>
      <c r="D410" s="342"/>
      <c r="E410" s="341"/>
      <c r="F410" s="341"/>
    </row>
    <row r="411" spans="3:6" s="260" customFormat="1" ht="15">
      <c r="C411" s="342"/>
      <c r="D411" s="342"/>
      <c r="E411" s="341"/>
      <c r="F411" s="341"/>
    </row>
    <row r="412" spans="3:6" s="260" customFormat="1" ht="15">
      <c r="C412" s="342"/>
      <c r="D412" s="342"/>
      <c r="E412" s="341"/>
      <c r="F412" s="341"/>
    </row>
    <row r="413" spans="3:6" s="260" customFormat="1" ht="15">
      <c r="C413" s="342"/>
      <c r="D413" s="342"/>
      <c r="E413" s="341"/>
      <c r="F413" s="341"/>
    </row>
    <row r="414" spans="3:6" s="260" customFormat="1" ht="15">
      <c r="C414" s="342"/>
      <c r="D414" s="342"/>
      <c r="E414" s="341"/>
      <c r="F414" s="341"/>
    </row>
    <row r="415" spans="3:6" s="260" customFormat="1" ht="15">
      <c r="C415" s="342"/>
      <c r="D415" s="342"/>
      <c r="E415" s="341"/>
      <c r="F415" s="341"/>
    </row>
    <row r="416" spans="3:6" s="260" customFormat="1" ht="15">
      <c r="C416" s="342"/>
      <c r="D416" s="342"/>
      <c r="E416" s="341"/>
      <c r="F416" s="341"/>
    </row>
    <row r="417" spans="3:6" s="260" customFormat="1" ht="15">
      <c r="C417" s="342"/>
      <c r="D417" s="342"/>
      <c r="E417" s="341"/>
      <c r="F417" s="341"/>
    </row>
    <row r="418" spans="3:6" s="260" customFormat="1" ht="15">
      <c r="C418" s="342"/>
      <c r="D418" s="342"/>
      <c r="E418" s="341"/>
      <c r="F418" s="341"/>
    </row>
    <row r="419" spans="3:6" s="260" customFormat="1" ht="15">
      <c r="C419" s="342"/>
      <c r="D419" s="342"/>
      <c r="E419" s="341"/>
      <c r="F419" s="341"/>
    </row>
    <row r="420" spans="3:6" s="260" customFormat="1" ht="15">
      <c r="C420" s="342"/>
      <c r="D420" s="342"/>
      <c r="E420" s="341"/>
      <c r="F420" s="341"/>
    </row>
    <row r="421" spans="3:6" s="260" customFormat="1" ht="15">
      <c r="C421" s="342"/>
      <c r="D421" s="342"/>
      <c r="E421" s="341"/>
      <c r="F421" s="341"/>
    </row>
    <row r="422" spans="3:6" s="260" customFormat="1" ht="15">
      <c r="C422" s="342"/>
      <c r="D422" s="342"/>
      <c r="E422" s="341"/>
      <c r="F422" s="341"/>
    </row>
    <row r="423" spans="3:6" s="260" customFormat="1" ht="15">
      <c r="C423" s="342"/>
      <c r="D423" s="342"/>
      <c r="E423" s="341"/>
      <c r="F423" s="341"/>
    </row>
    <row r="424" spans="3:6" s="260" customFormat="1" ht="15">
      <c r="C424" s="342"/>
      <c r="D424" s="342"/>
      <c r="E424" s="341"/>
      <c r="F424" s="341"/>
    </row>
    <row r="425" spans="3:6" s="260" customFormat="1" ht="15">
      <c r="C425" s="342"/>
      <c r="D425" s="342"/>
      <c r="E425" s="341"/>
      <c r="F425" s="341"/>
    </row>
    <row r="426" spans="3:6" s="260" customFormat="1" ht="15">
      <c r="C426" s="342"/>
      <c r="D426" s="342"/>
      <c r="E426" s="341"/>
      <c r="F426" s="341"/>
    </row>
    <row r="427" spans="3:6" s="260" customFormat="1" ht="15">
      <c r="C427" s="342"/>
      <c r="D427" s="342"/>
      <c r="E427" s="341"/>
      <c r="F427" s="341"/>
    </row>
    <row r="428" spans="3:6" s="260" customFormat="1" ht="15">
      <c r="C428" s="342"/>
      <c r="D428" s="342"/>
      <c r="E428" s="341"/>
      <c r="F428" s="341"/>
    </row>
    <row r="429" spans="3:6" s="260" customFormat="1" ht="15">
      <c r="C429" s="342"/>
      <c r="D429" s="342"/>
      <c r="E429" s="341"/>
      <c r="F429" s="341"/>
    </row>
    <row r="430" spans="3:6" s="260" customFormat="1" ht="15">
      <c r="C430" s="342"/>
      <c r="D430" s="342"/>
      <c r="E430" s="341"/>
      <c r="F430" s="341"/>
    </row>
    <row r="431" spans="3:6" s="260" customFormat="1" ht="15">
      <c r="C431" s="342"/>
      <c r="D431" s="342"/>
      <c r="E431" s="341"/>
      <c r="F431" s="341"/>
    </row>
    <row r="432" spans="3:6" s="260" customFormat="1" ht="15">
      <c r="C432" s="342"/>
      <c r="D432" s="342"/>
      <c r="E432" s="341"/>
      <c r="F432" s="341"/>
    </row>
    <row r="433" spans="3:6" s="260" customFormat="1" ht="15">
      <c r="C433" s="342"/>
      <c r="D433" s="342"/>
      <c r="E433" s="341"/>
      <c r="F433" s="341"/>
    </row>
    <row r="434" spans="3:6" s="260" customFormat="1" ht="15">
      <c r="C434" s="342"/>
      <c r="D434" s="342"/>
      <c r="E434" s="341"/>
      <c r="F434" s="341"/>
    </row>
    <row r="435" spans="3:6" s="260" customFormat="1" ht="15">
      <c r="C435" s="342"/>
      <c r="D435" s="342"/>
      <c r="E435" s="341"/>
      <c r="F435" s="341"/>
    </row>
    <row r="436" spans="3:6" s="260" customFormat="1" ht="15">
      <c r="C436" s="342"/>
      <c r="D436" s="342"/>
      <c r="E436" s="341"/>
      <c r="F436" s="341"/>
    </row>
    <row r="437" spans="3:6" s="260" customFormat="1" ht="15">
      <c r="C437" s="342"/>
      <c r="D437" s="342"/>
      <c r="E437" s="341"/>
      <c r="F437" s="341"/>
    </row>
    <row r="438" spans="3:6" s="260" customFormat="1" ht="15">
      <c r="C438" s="342"/>
      <c r="D438" s="342"/>
      <c r="E438" s="341"/>
      <c r="F438" s="341"/>
    </row>
    <row r="439" spans="3:6" s="260" customFormat="1" ht="15">
      <c r="C439" s="342"/>
      <c r="D439" s="342"/>
      <c r="E439" s="341"/>
      <c r="F439" s="341"/>
    </row>
    <row r="440" spans="3:6" s="260" customFormat="1" ht="15">
      <c r="C440" s="342"/>
      <c r="D440" s="342"/>
      <c r="E440" s="341"/>
      <c r="F440" s="341"/>
    </row>
    <row r="441" spans="3:6" s="260" customFormat="1" ht="15">
      <c r="C441" s="342"/>
      <c r="D441" s="342"/>
      <c r="E441" s="341"/>
      <c r="F441" s="341"/>
    </row>
    <row r="442" spans="3:6" s="260" customFormat="1" ht="15">
      <c r="C442" s="342"/>
      <c r="D442" s="342"/>
      <c r="E442" s="341"/>
      <c r="F442" s="341"/>
    </row>
    <row r="443" spans="3:6" s="260" customFormat="1" ht="15">
      <c r="C443" s="342"/>
      <c r="D443" s="342"/>
      <c r="E443" s="341"/>
      <c r="F443" s="341"/>
    </row>
    <row r="444" spans="3:6" s="260" customFormat="1" ht="15">
      <c r="C444" s="342"/>
      <c r="D444" s="342"/>
      <c r="E444" s="341"/>
      <c r="F444" s="341"/>
    </row>
    <row r="445" spans="3:6" s="260" customFormat="1" ht="15">
      <c r="C445" s="342"/>
      <c r="D445" s="342"/>
      <c r="E445" s="341"/>
      <c r="F445" s="341"/>
    </row>
    <row r="446" spans="3:6" s="260" customFormat="1" ht="15">
      <c r="C446" s="342"/>
      <c r="D446" s="342"/>
      <c r="E446" s="341"/>
      <c r="F446" s="341"/>
    </row>
    <row r="447" spans="3:6" s="260" customFormat="1" ht="15">
      <c r="C447" s="342"/>
      <c r="D447" s="342"/>
      <c r="E447" s="341"/>
      <c r="F447" s="341"/>
    </row>
    <row r="448" spans="3:6" s="260" customFormat="1" ht="15">
      <c r="C448" s="342"/>
      <c r="D448" s="342"/>
      <c r="E448" s="341"/>
      <c r="F448" s="341"/>
    </row>
    <row r="449" spans="3:6" s="260" customFormat="1" ht="15">
      <c r="C449" s="342"/>
      <c r="D449" s="342"/>
      <c r="E449" s="341"/>
      <c r="F449" s="341"/>
    </row>
    <row r="450" spans="3:6" s="260" customFormat="1" ht="15">
      <c r="C450" s="342"/>
      <c r="D450" s="342"/>
      <c r="E450" s="341"/>
      <c r="F450" s="341"/>
    </row>
    <row r="451" spans="3:6" s="260" customFormat="1" ht="15">
      <c r="C451" s="342"/>
      <c r="D451" s="342"/>
      <c r="E451" s="341"/>
      <c r="F451" s="341"/>
    </row>
    <row r="452" spans="3:6" s="260" customFormat="1" ht="15">
      <c r="C452" s="342"/>
      <c r="D452" s="342"/>
      <c r="E452" s="341"/>
      <c r="F452" s="341"/>
    </row>
    <row r="453" spans="3:6" s="260" customFormat="1" ht="15">
      <c r="C453" s="342"/>
      <c r="D453" s="342"/>
      <c r="E453" s="341"/>
      <c r="F453" s="341"/>
    </row>
    <row r="454" spans="3:6" s="260" customFormat="1" ht="15">
      <c r="C454" s="342"/>
      <c r="D454" s="342"/>
      <c r="E454" s="341"/>
      <c r="F454" s="341"/>
    </row>
    <row r="455" spans="3:6" s="260" customFormat="1" ht="15">
      <c r="C455" s="342"/>
      <c r="D455" s="342"/>
      <c r="E455" s="341"/>
      <c r="F455" s="341"/>
    </row>
    <row r="456" spans="3:6" s="260" customFormat="1" ht="15">
      <c r="C456" s="342"/>
      <c r="D456" s="342"/>
      <c r="E456" s="341"/>
      <c r="F456" s="341"/>
    </row>
    <row r="457" spans="3:6" s="260" customFormat="1" ht="15">
      <c r="C457" s="342"/>
      <c r="D457" s="342"/>
      <c r="E457" s="341"/>
      <c r="F457" s="341"/>
    </row>
    <row r="458" spans="3:6" s="260" customFormat="1" ht="15">
      <c r="C458" s="342"/>
      <c r="D458" s="342"/>
      <c r="E458" s="341"/>
      <c r="F458" s="341"/>
    </row>
    <row r="459" spans="3:6" s="260" customFormat="1" ht="15">
      <c r="C459" s="342"/>
      <c r="D459" s="342"/>
      <c r="E459" s="341"/>
      <c r="F459" s="341"/>
    </row>
    <row r="460" spans="3:6" s="260" customFormat="1" ht="15">
      <c r="C460" s="342"/>
      <c r="D460" s="342"/>
      <c r="E460" s="341"/>
      <c r="F460" s="341"/>
    </row>
    <row r="461" spans="3:6" s="260" customFormat="1" ht="15">
      <c r="C461" s="342"/>
      <c r="D461" s="342"/>
      <c r="E461" s="341"/>
      <c r="F461" s="341"/>
    </row>
    <row r="462" spans="3:6" s="260" customFormat="1" ht="15">
      <c r="C462" s="342"/>
      <c r="D462" s="342"/>
      <c r="E462" s="341"/>
      <c r="F462" s="341"/>
    </row>
    <row r="463" spans="3:6" s="260" customFormat="1" ht="15">
      <c r="C463" s="342"/>
      <c r="D463" s="342"/>
      <c r="E463" s="341"/>
      <c r="F463" s="341"/>
    </row>
    <row r="464" spans="3:6" s="260" customFormat="1" ht="15">
      <c r="C464" s="342"/>
      <c r="D464" s="342"/>
      <c r="E464" s="341"/>
      <c r="F464" s="341"/>
    </row>
    <row r="465" spans="3:6" s="260" customFormat="1" ht="15">
      <c r="C465" s="342"/>
      <c r="D465" s="342"/>
      <c r="E465" s="341"/>
      <c r="F465" s="341"/>
    </row>
    <row r="466" spans="3:6" s="260" customFormat="1" ht="15">
      <c r="C466" s="342"/>
      <c r="D466" s="342"/>
      <c r="E466" s="341"/>
      <c r="F466" s="341"/>
    </row>
    <row r="467" spans="3:6" s="260" customFormat="1" ht="15">
      <c r="C467" s="342"/>
      <c r="D467" s="342"/>
      <c r="E467" s="341"/>
      <c r="F467" s="341"/>
    </row>
    <row r="468" spans="3:6" s="260" customFormat="1" ht="15">
      <c r="C468" s="342"/>
      <c r="D468" s="342"/>
      <c r="E468" s="341"/>
      <c r="F468" s="341"/>
    </row>
    <row r="469" spans="3:6" s="260" customFormat="1" ht="15">
      <c r="C469" s="342"/>
      <c r="D469" s="342"/>
      <c r="E469" s="341"/>
      <c r="F469" s="341"/>
    </row>
    <row r="470" spans="3:6" s="260" customFormat="1" ht="15">
      <c r="C470" s="342"/>
      <c r="D470" s="342"/>
      <c r="E470" s="341"/>
      <c r="F470" s="341"/>
    </row>
    <row r="471" spans="3:6" s="260" customFormat="1" ht="15">
      <c r="C471" s="342"/>
      <c r="D471" s="342"/>
      <c r="E471" s="341"/>
      <c r="F471" s="341"/>
    </row>
    <row r="472" spans="3:6" s="260" customFormat="1" ht="15">
      <c r="C472" s="342"/>
      <c r="D472" s="342"/>
      <c r="E472" s="341"/>
      <c r="F472" s="341"/>
    </row>
    <row r="473" spans="3:6" s="260" customFormat="1" ht="15">
      <c r="C473" s="342"/>
      <c r="D473" s="342"/>
      <c r="E473" s="341"/>
      <c r="F473" s="341"/>
    </row>
    <row r="474" spans="3:6" s="260" customFormat="1" ht="15">
      <c r="C474" s="342"/>
      <c r="D474" s="342"/>
      <c r="E474" s="341"/>
      <c r="F474" s="341"/>
    </row>
    <row r="475" spans="3:6" s="260" customFormat="1" ht="15">
      <c r="C475" s="342"/>
      <c r="D475" s="342"/>
      <c r="E475" s="341"/>
      <c r="F475" s="341"/>
    </row>
    <row r="476" spans="3:6" s="260" customFormat="1" ht="15">
      <c r="C476" s="342"/>
      <c r="D476" s="342"/>
      <c r="E476" s="341"/>
      <c r="F476" s="341"/>
    </row>
    <row r="477" spans="3:6" s="260" customFormat="1" ht="15">
      <c r="C477" s="342"/>
      <c r="D477" s="342"/>
      <c r="E477" s="341"/>
      <c r="F477" s="341"/>
    </row>
    <row r="478" spans="3:6" s="260" customFormat="1" ht="15">
      <c r="C478" s="342"/>
      <c r="D478" s="342"/>
      <c r="E478" s="341"/>
      <c r="F478" s="341"/>
    </row>
    <row r="479" spans="3:6" s="260" customFormat="1" ht="15">
      <c r="C479" s="342"/>
      <c r="D479" s="342"/>
      <c r="E479" s="341"/>
      <c r="F479" s="341"/>
    </row>
    <row r="480" spans="3:6" s="260" customFormat="1" ht="15">
      <c r="C480" s="342"/>
      <c r="D480" s="342"/>
      <c r="E480" s="341"/>
      <c r="F480" s="341"/>
    </row>
    <row r="481" spans="3:6" s="260" customFormat="1" ht="15">
      <c r="C481" s="342"/>
      <c r="D481" s="342"/>
      <c r="E481" s="341"/>
      <c r="F481" s="341"/>
    </row>
    <row r="482" spans="3:6" s="260" customFormat="1" ht="15">
      <c r="C482" s="342"/>
      <c r="D482" s="342"/>
      <c r="E482" s="341"/>
      <c r="F482" s="341"/>
    </row>
    <row r="483" spans="3:6" s="260" customFormat="1" ht="15">
      <c r="C483" s="342"/>
      <c r="D483" s="342"/>
      <c r="E483" s="341"/>
      <c r="F483" s="341"/>
    </row>
    <row r="484" spans="3:6" s="260" customFormat="1" ht="15">
      <c r="C484" s="342"/>
      <c r="D484" s="342"/>
      <c r="E484" s="341"/>
      <c r="F484" s="341"/>
    </row>
    <row r="485" spans="3:6" s="260" customFormat="1" ht="15">
      <c r="C485" s="342"/>
      <c r="D485" s="342"/>
      <c r="E485" s="341"/>
      <c r="F485" s="341"/>
    </row>
    <row r="486" spans="3:6" s="260" customFormat="1" ht="15">
      <c r="C486" s="342"/>
      <c r="D486" s="342"/>
      <c r="E486" s="341"/>
      <c r="F486" s="341"/>
    </row>
    <row r="487" spans="3:6" s="260" customFormat="1" ht="15">
      <c r="C487" s="342"/>
      <c r="D487" s="342"/>
      <c r="E487" s="341"/>
      <c r="F487" s="341"/>
    </row>
    <row r="488" spans="3:6" s="260" customFormat="1" ht="15">
      <c r="C488" s="342"/>
      <c r="D488" s="342"/>
      <c r="E488" s="341"/>
      <c r="F488" s="341"/>
    </row>
    <row r="489" spans="3:6" s="260" customFormat="1" ht="15">
      <c r="C489" s="342"/>
      <c r="D489" s="342"/>
      <c r="E489" s="341"/>
      <c r="F489" s="341"/>
    </row>
    <row r="490" spans="3:6" s="260" customFormat="1" ht="15">
      <c r="C490" s="342"/>
      <c r="D490" s="342"/>
      <c r="E490" s="341"/>
      <c r="F490" s="341"/>
    </row>
    <row r="491" spans="3:6" s="260" customFormat="1" ht="15">
      <c r="C491" s="342"/>
      <c r="D491" s="342"/>
      <c r="E491" s="341"/>
      <c r="F491" s="341"/>
    </row>
    <row r="492" spans="3:6" s="260" customFormat="1" ht="15">
      <c r="C492" s="342"/>
      <c r="D492" s="342"/>
      <c r="E492" s="341"/>
      <c r="F492" s="341"/>
    </row>
    <row r="493" spans="3:6" s="260" customFormat="1" ht="15">
      <c r="C493" s="342"/>
      <c r="D493" s="342"/>
      <c r="E493" s="341"/>
      <c r="F493" s="341"/>
    </row>
    <row r="494" spans="3:6" s="260" customFormat="1" ht="15">
      <c r="C494" s="342"/>
      <c r="D494" s="342"/>
      <c r="E494" s="341"/>
      <c r="F494" s="341"/>
    </row>
    <row r="495" spans="3:6" s="260" customFormat="1" ht="15">
      <c r="C495" s="342"/>
      <c r="D495" s="342"/>
      <c r="E495" s="341"/>
      <c r="F495" s="341"/>
    </row>
    <row r="496" spans="3:6" s="260" customFormat="1" ht="15">
      <c r="C496" s="342"/>
      <c r="D496" s="342"/>
      <c r="E496" s="341"/>
      <c r="F496" s="341"/>
    </row>
    <row r="497" spans="3:6" s="260" customFormat="1" ht="15">
      <c r="C497" s="342"/>
      <c r="D497" s="342"/>
      <c r="E497" s="341"/>
      <c r="F497" s="341"/>
    </row>
    <row r="498" spans="3:6" s="260" customFormat="1" ht="15">
      <c r="C498" s="342"/>
      <c r="D498" s="342"/>
      <c r="E498" s="341"/>
      <c r="F498" s="341"/>
    </row>
    <row r="499" spans="3:6" s="260" customFormat="1" ht="15">
      <c r="C499" s="342"/>
      <c r="D499" s="342"/>
      <c r="E499" s="341"/>
      <c r="F499" s="341"/>
    </row>
    <row r="500" spans="3:6" s="260" customFormat="1" ht="15">
      <c r="C500" s="342"/>
      <c r="D500" s="342"/>
      <c r="E500" s="341"/>
      <c r="F500" s="341"/>
    </row>
    <row r="501" spans="3:6" s="260" customFormat="1" ht="15">
      <c r="C501" s="342"/>
      <c r="D501" s="342"/>
      <c r="E501" s="341"/>
      <c r="F501" s="341"/>
    </row>
    <row r="502" spans="3:6" s="260" customFormat="1" ht="15">
      <c r="C502" s="342"/>
      <c r="D502" s="342"/>
      <c r="E502" s="341"/>
      <c r="F502" s="341"/>
    </row>
    <row r="503" spans="3:6" s="260" customFormat="1" ht="15">
      <c r="C503" s="342"/>
      <c r="D503" s="342"/>
      <c r="E503" s="341"/>
      <c r="F503" s="341"/>
    </row>
    <row r="504" spans="3:6" s="260" customFormat="1" ht="15">
      <c r="C504" s="342"/>
      <c r="D504" s="342"/>
      <c r="E504" s="341"/>
      <c r="F504" s="341"/>
    </row>
    <row r="505" spans="3:6" s="260" customFormat="1" ht="15">
      <c r="C505" s="342"/>
      <c r="D505" s="342"/>
      <c r="E505" s="341"/>
      <c r="F505" s="341"/>
    </row>
    <row r="506" spans="3:6" s="260" customFormat="1" ht="15">
      <c r="C506" s="342"/>
      <c r="D506" s="342"/>
      <c r="E506" s="341"/>
      <c r="F506" s="341"/>
    </row>
    <row r="507" spans="3:6" s="260" customFormat="1" ht="15">
      <c r="C507" s="342"/>
      <c r="D507" s="342"/>
      <c r="E507" s="341"/>
      <c r="F507" s="341"/>
    </row>
    <row r="508" spans="3:6" s="260" customFormat="1" ht="15">
      <c r="C508" s="342"/>
      <c r="D508" s="342"/>
      <c r="E508" s="341"/>
      <c r="F508" s="341"/>
    </row>
    <row r="509" spans="3:6" s="260" customFormat="1" ht="15">
      <c r="C509" s="342"/>
      <c r="D509" s="342"/>
      <c r="E509" s="341"/>
      <c r="F509" s="341"/>
    </row>
    <row r="510" spans="3:6" s="260" customFormat="1" ht="15">
      <c r="C510" s="342"/>
      <c r="D510" s="342"/>
      <c r="E510" s="341"/>
      <c r="F510" s="341"/>
    </row>
    <row r="511" spans="3:6" s="260" customFormat="1" ht="15">
      <c r="C511" s="342"/>
      <c r="D511" s="342"/>
      <c r="E511" s="341"/>
      <c r="F511" s="341"/>
    </row>
    <row r="512" spans="3:6" s="260" customFormat="1" ht="15">
      <c r="C512" s="342"/>
      <c r="D512" s="342"/>
      <c r="E512" s="341"/>
      <c r="F512" s="341"/>
    </row>
    <row r="513" spans="3:6" s="260" customFormat="1" ht="15">
      <c r="C513" s="342"/>
      <c r="D513" s="342"/>
      <c r="E513" s="341"/>
      <c r="F513" s="341"/>
    </row>
    <row r="514" spans="3:6" s="260" customFormat="1" ht="15">
      <c r="C514" s="342"/>
      <c r="D514" s="342"/>
      <c r="E514" s="341"/>
      <c r="F514" s="341"/>
    </row>
    <row r="515" spans="3:6" s="260" customFormat="1" ht="15">
      <c r="C515" s="342"/>
      <c r="D515" s="342"/>
      <c r="E515" s="341"/>
      <c r="F515" s="341"/>
    </row>
    <row r="516" spans="3:6" s="260" customFormat="1" ht="15">
      <c r="C516" s="342"/>
      <c r="D516" s="342"/>
      <c r="E516" s="341"/>
      <c r="F516" s="341"/>
    </row>
    <row r="517" spans="3:6" s="260" customFormat="1" ht="15">
      <c r="C517" s="342"/>
      <c r="D517" s="342"/>
      <c r="E517" s="341"/>
      <c r="F517" s="341"/>
    </row>
    <row r="518" spans="3:6" s="260" customFormat="1" ht="15">
      <c r="C518" s="342"/>
      <c r="D518" s="342"/>
      <c r="E518" s="341"/>
      <c r="F518" s="341"/>
    </row>
    <row r="519" spans="3:6" s="260" customFormat="1" ht="15">
      <c r="C519" s="342"/>
      <c r="D519" s="342"/>
      <c r="E519" s="341"/>
      <c r="F519" s="341"/>
    </row>
    <row r="520" spans="3:6" s="260" customFormat="1" ht="15">
      <c r="C520" s="342"/>
      <c r="D520" s="342"/>
      <c r="E520" s="341"/>
      <c r="F520" s="341"/>
    </row>
    <row r="521" spans="3:6" s="260" customFormat="1" ht="15">
      <c r="C521" s="342"/>
      <c r="D521" s="342"/>
      <c r="E521" s="341"/>
      <c r="F521" s="341"/>
    </row>
    <row r="522" spans="3:6" s="260" customFormat="1" ht="15">
      <c r="C522" s="342"/>
      <c r="D522" s="342"/>
      <c r="E522" s="341"/>
      <c r="F522" s="341"/>
    </row>
    <row r="523" spans="3:6" s="260" customFormat="1" ht="15">
      <c r="C523" s="342"/>
      <c r="D523" s="342"/>
      <c r="E523" s="341"/>
      <c r="F523" s="341"/>
    </row>
    <row r="524" spans="3:6" s="260" customFormat="1" ht="15">
      <c r="C524" s="342"/>
      <c r="D524" s="342"/>
      <c r="E524" s="341"/>
      <c r="F524" s="341"/>
    </row>
    <row r="525" spans="3:6" s="260" customFormat="1" ht="15">
      <c r="C525" s="342"/>
      <c r="D525" s="342"/>
      <c r="E525" s="341"/>
      <c r="F525" s="341"/>
    </row>
    <row r="526" spans="3:6" s="260" customFormat="1" ht="15">
      <c r="C526" s="342"/>
      <c r="D526" s="342"/>
      <c r="E526" s="341"/>
      <c r="F526" s="341"/>
    </row>
    <row r="527" spans="3:6" s="260" customFormat="1" ht="15">
      <c r="C527" s="342"/>
      <c r="D527" s="342"/>
      <c r="E527" s="341"/>
      <c r="F527" s="341"/>
    </row>
    <row r="528" spans="3:6" s="260" customFormat="1" ht="15">
      <c r="C528" s="342"/>
      <c r="D528" s="342"/>
      <c r="E528" s="341"/>
      <c r="F528" s="341"/>
    </row>
    <row r="529" spans="3:6" s="260" customFormat="1" ht="15">
      <c r="C529" s="342"/>
      <c r="D529" s="342"/>
      <c r="E529" s="341"/>
      <c r="F529" s="341"/>
    </row>
    <row r="530" spans="3:6" s="260" customFormat="1" ht="15">
      <c r="C530" s="342"/>
      <c r="D530" s="342"/>
      <c r="E530" s="341"/>
      <c r="F530" s="341"/>
    </row>
    <row r="531" spans="3:6" s="260" customFormat="1" ht="15">
      <c r="C531" s="342"/>
      <c r="D531" s="342"/>
      <c r="E531" s="341"/>
      <c r="F531" s="341"/>
    </row>
    <row r="532" spans="3:6" s="260" customFormat="1" ht="15">
      <c r="C532" s="342"/>
      <c r="D532" s="342"/>
      <c r="E532" s="341"/>
      <c r="F532" s="341"/>
    </row>
    <row r="533" spans="3:6" s="260" customFormat="1" ht="15">
      <c r="C533" s="342"/>
      <c r="D533" s="342"/>
      <c r="E533" s="341"/>
      <c r="F533" s="341"/>
    </row>
    <row r="534" spans="3:6" s="260" customFormat="1" ht="15">
      <c r="C534" s="342"/>
      <c r="D534" s="342"/>
      <c r="E534" s="341"/>
      <c r="F534" s="341"/>
    </row>
    <row r="535" spans="3:6" s="260" customFormat="1" ht="15">
      <c r="C535" s="342"/>
      <c r="D535" s="342"/>
      <c r="E535" s="341"/>
      <c r="F535" s="341"/>
    </row>
    <row r="536" spans="3:6" s="260" customFormat="1" ht="15">
      <c r="C536" s="342"/>
      <c r="D536" s="342"/>
      <c r="E536" s="341"/>
      <c r="F536" s="341"/>
    </row>
    <row r="537" spans="3:6" s="260" customFormat="1" ht="15">
      <c r="C537" s="342"/>
      <c r="D537" s="342"/>
      <c r="E537" s="341"/>
      <c r="F537" s="341"/>
    </row>
    <row r="538" spans="3:6" s="260" customFormat="1" ht="15">
      <c r="C538" s="342"/>
      <c r="D538" s="342"/>
      <c r="E538" s="341"/>
      <c r="F538" s="341"/>
    </row>
    <row r="539" spans="3:6" s="260" customFormat="1" ht="15">
      <c r="C539" s="342"/>
      <c r="D539" s="342"/>
      <c r="E539" s="341"/>
      <c r="F539" s="341"/>
    </row>
  </sheetData>
  <sheetProtection/>
  <mergeCells count="58">
    <mergeCell ref="D1:F1"/>
    <mergeCell ref="D2:F2"/>
    <mergeCell ref="D3:F3"/>
    <mergeCell ref="A5:F5"/>
    <mergeCell ref="A7:F7"/>
    <mergeCell ref="A71:F71"/>
    <mergeCell ref="A67:E67"/>
    <mergeCell ref="A48:E48"/>
    <mergeCell ref="A13:F13"/>
    <mergeCell ref="A9:A12"/>
    <mergeCell ref="C10:F10"/>
    <mergeCell ref="B9:F9"/>
    <mergeCell ref="A93:F93"/>
    <mergeCell ref="A113:F113"/>
    <mergeCell ref="B10:B11"/>
    <mergeCell ref="A323:F323"/>
    <mergeCell ref="A326:F326"/>
    <mergeCell ref="A330:F330"/>
    <mergeCell ref="A334:F334"/>
    <mergeCell ref="A343:F343"/>
    <mergeCell ref="A194:E194"/>
    <mergeCell ref="A253:E253"/>
    <mergeCell ref="C4:E4"/>
    <mergeCell ref="A297:E297"/>
    <mergeCell ref="A212:E212"/>
    <mergeCell ref="A146:E146"/>
    <mergeCell ref="A273:E273"/>
    <mergeCell ref="A346:F346"/>
    <mergeCell ref="A150:E150"/>
    <mergeCell ref="A173:E173"/>
    <mergeCell ref="A8:E8"/>
    <mergeCell ref="A56:E56"/>
    <mergeCell ref="A353:F353"/>
    <mergeCell ref="A368:A370"/>
    <mergeCell ref="A50:E50"/>
    <mergeCell ref="A231:E231"/>
    <mergeCell ref="B368:B370"/>
    <mergeCell ref="A356:F356"/>
    <mergeCell ref="C368:F368"/>
    <mergeCell ref="A350:F350"/>
    <mergeCell ref="A100:E100"/>
    <mergeCell ref="A320:F320"/>
    <mergeCell ref="N367:P367"/>
    <mergeCell ref="H367:J367"/>
    <mergeCell ref="N368:P368"/>
    <mergeCell ref="N369:N370"/>
    <mergeCell ref="O369:O370"/>
    <mergeCell ref="P369:P370"/>
    <mergeCell ref="M368:M370"/>
    <mergeCell ref="C369:C370"/>
    <mergeCell ref="D369:D370"/>
    <mergeCell ref="E369:E370"/>
    <mergeCell ref="H368:J368"/>
    <mergeCell ref="H369:H370"/>
    <mergeCell ref="I369:I370"/>
    <mergeCell ref="J369:J370"/>
    <mergeCell ref="G368:G370"/>
    <mergeCell ref="F369:F370"/>
  </mergeCells>
  <printOptions/>
  <pageMargins left="0.7874015748031497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78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418" customWidth="1"/>
    <col min="2" max="2" width="20.57421875" style="418" customWidth="1"/>
    <col min="3" max="3" width="20.00390625" style="418" customWidth="1"/>
    <col min="4" max="4" width="13.8515625" style="418" customWidth="1"/>
    <col min="5" max="16384" width="9.140625" style="418" customWidth="1"/>
  </cols>
  <sheetData>
    <row r="1" ht="25.5" customHeight="1">
      <c r="D1" s="418" t="s">
        <v>395</v>
      </c>
    </row>
    <row r="2" spans="1:4" ht="27.75" customHeight="1">
      <c r="A2" s="726" t="s">
        <v>301</v>
      </c>
      <c r="B2" s="726"/>
      <c r="C2" s="726"/>
      <c r="D2" s="726"/>
    </row>
    <row r="3" spans="1:4" ht="93.75" customHeight="1">
      <c r="A3" s="725" t="s">
        <v>305</v>
      </c>
      <c r="B3" s="725"/>
      <c r="C3" s="725"/>
      <c r="D3" s="725"/>
    </row>
    <row r="4" spans="1:2" ht="12.75">
      <c r="A4" s="419"/>
      <c r="B4" s="425" t="s">
        <v>303</v>
      </c>
    </row>
    <row r="5" spans="1:2" ht="12.75">
      <c r="A5" s="419"/>
      <c r="B5" s="425"/>
    </row>
    <row r="6" spans="1:4" ht="27.75" customHeight="1">
      <c r="A6" s="724" t="s">
        <v>302</v>
      </c>
      <c r="B6" s="727" t="s">
        <v>306</v>
      </c>
      <c r="C6" s="728"/>
      <c r="D6" s="729"/>
    </row>
    <row r="7" spans="1:4" ht="29.25" customHeight="1">
      <c r="A7" s="724"/>
      <c r="B7" s="424"/>
      <c r="C7" s="424"/>
      <c r="D7" s="730" t="s">
        <v>7</v>
      </c>
    </row>
    <row r="8" spans="1:4" ht="42.75" customHeight="1">
      <c r="A8" s="724"/>
      <c r="B8" s="424"/>
      <c r="C8" s="424"/>
      <c r="D8" s="731"/>
    </row>
    <row r="9" spans="1:4" ht="24" customHeight="1">
      <c r="A9" s="420" t="s">
        <v>42</v>
      </c>
      <c r="B9" s="421"/>
      <c r="C9" s="421"/>
      <c r="D9" s="426">
        <f>SUM(B9:C9)</f>
        <v>0</v>
      </c>
    </row>
    <row r="10" spans="1:4" ht="24" customHeight="1">
      <c r="A10" s="420" t="s">
        <v>55</v>
      </c>
      <c r="B10" s="421"/>
      <c r="C10" s="421"/>
      <c r="D10" s="426">
        <f>SUM(B10:C10)</f>
        <v>0</v>
      </c>
    </row>
    <row r="11" spans="1:4" ht="24" customHeight="1">
      <c r="A11" s="420" t="s">
        <v>221</v>
      </c>
      <c r="B11" s="421"/>
      <c r="C11" s="421"/>
      <c r="D11" s="426">
        <f>SUM(B11:C11)</f>
        <v>0</v>
      </c>
    </row>
    <row r="12" spans="1:4" ht="24" customHeight="1">
      <c r="A12" s="422" t="s">
        <v>304</v>
      </c>
      <c r="B12" s="423">
        <f>SUM(B9:B11)</f>
        <v>0</v>
      </c>
      <c r="C12" s="423">
        <f>SUM(C9:C11)</f>
        <v>0</v>
      </c>
      <c r="D12" s="423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9"/>
  <sheetViews>
    <sheetView view="pageBreakPreview" zoomScale="80" zoomScaleSheetLayoutView="80" zoomScalePageLayoutView="0" workbookViewId="0" topLeftCell="A1">
      <pane xSplit="1" ySplit="9" topLeftCell="B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P27" sqref="P27"/>
    </sheetView>
  </sheetViews>
  <sheetFormatPr defaultColWidth="9.140625" defaultRowHeight="12.75"/>
  <cols>
    <col min="1" max="1" width="35.7109375" style="283" customWidth="1"/>
    <col min="2" max="2" width="19.8515625" style="283" customWidth="1"/>
    <col min="3" max="3" width="18.57421875" style="283" customWidth="1"/>
    <col min="4" max="4" width="18.7109375" style="283" customWidth="1"/>
    <col min="5" max="5" width="19.140625" style="288" customWidth="1"/>
    <col min="6" max="6" width="17.421875" style="283" customWidth="1"/>
    <col min="7" max="7" width="17.00390625" style="283" customWidth="1"/>
    <col min="8" max="8" width="14.28125" style="283" customWidth="1"/>
    <col min="9" max="9" width="13.28125" style="283" customWidth="1"/>
    <col min="10" max="16384" width="9.140625" style="283" customWidth="1"/>
  </cols>
  <sheetData>
    <row r="1" spans="4:9" ht="21" customHeight="1">
      <c r="D1" s="284"/>
      <c r="E1" s="284"/>
      <c r="G1" s="285"/>
      <c r="H1" s="285"/>
      <c r="I1" s="283" t="s">
        <v>396</v>
      </c>
    </row>
    <row r="2" spans="4:8" ht="21" customHeight="1">
      <c r="D2" s="284"/>
      <c r="E2" s="284"/>
      <c r="G2" s="285"/>
      <c r="H2" s="285"/>
    </row>
    <row r="3" spans="1:9" ht="31.5" customHeight="1">
      <c r="A3" s="659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59"/>
      <c r="C3" s="659"/>
      <c r="D3" s="659"/>
      <c r="E3" s="659"/>
      <c r="F3" s="659"/>
      <c r="G3" s="659"/>
      <c r="H3" s="659"/>
      <c r="I3" s="659"/>
    </row>
    <row r="4" spans="1:9" ht="21.75" customHeight="1">
      <c r="A4" s="660" t="s">
        <v>401</v>
      </c>
      <c r="B4" s="660"/>
      <c r="C4" s="660"/>
      <c r="D4" s="660"/>
      <c r="E4" s="660"/>
      <c r="F4" s="660"/>
      <c r="G4" s="660"/>
      <c r="H4" s="660"/>
      <c r="I4" s="660"/>
    </row>
    <row r="5" spans="2:8" ht="15.75">
      <c r="B5" s="300"/>
      <c r="C5" s="300"/>
      <c r="D5" s="300"/>
      <c r="E5" s="300"/>
      <c r="F5" s="300"/>
      <c r="G5" s="300"/>
      <c r="H5" s="300"/>
    </row>
    <row r="6" spans="1:9" ht="15.75">
      <c r="A6" s="661" t="s">
        <v>207</v>
      </c>
      <c r="B6" s="664" t="s">
        <v>253</v>
      </c>
      <c r="C6" s="667" t="s">
        <v>208</v>
      </c>
      <c r="D6" s="667"/>
      <c r="E6" s="667"/>
      <c r="F6" s="374"/>
      <c r="G6" s="664" t="s">
        <v>254</v>
      </c>
      <c r="H6" s="667" t="s">
        <v>208</v>
      </c>
      <c r="I6" s="667"/>
    </row>
    <row r="7" spans="1:9" ht="15.75">
      <c r="A7" s="662"/>
      <c r="B7" s="665"/>
      <c r="C7" s="661" t="s">
        <v>222</v>
      </c>
      <c r="D7" s="661" t="s">
        <v>267</v>
      </c>
      <c r="E7" s="661" t="s">
        <v>209</v>
      </c>
      <c r="F7" s="374" t="s">
        <v>208</v>
      </c>
      <c r="G7" s="665"/>
      <c r="H7" s="661" t="s">
        <v>210</v>
      </c>
      <c r="I7" s="661" t="s">
        <v>211</v>
      </c>
    </row>
    <row r="8" spans="1:9" ht="82.5" customHeight="1">
      <c r="A8" s="663"/>
      <c r="B8" s="666"/>
      <c r="C8" s="663"/>
      <c r="D8" s="663"/>
      <c r="E8" s="663"/>
      <c r="F8" s="374" t="s">
        <v>255</v>
      </c>
      <c r="G8" s="666"/>
      <c r="H8" s="663"/>
      <c r="I8" s="663"/>
    </row>
    <row r="9" spans="1:9" ht="15.75">
      <c r="A9" s="375">
        <v>1</v>
      </c>
      <c r="B9" s="375">
        <v>2</v>
      </c>
      <c r="C9" s="375">
        <v>3</v>
      </c>
      <c r="D9" s="375">
        <v>4</v>
      </c>
      <c r="E9" s="375">
        <v>5</v>
      </c>
      <c r="F9" s="374">
        <v>6</v>
      </c>
      <c r="G9" s="375">
        <v>7</v>
      </c>
      <c r="H9" s="375">
        <v>8</v>
      </c>
      <c r="I9" s="375">
        <v>9</v>
      </c>
    </row>
    <row r="10" spans="1:9" ht="31.5">
      <c r="A10" s="376" t="s">
        <v>55</v>
      </c>
      <c r="B10" s="383">
        <f>SUM(C10:E10)</f>
        <v>234</v>
      </c>
      <c r="C10" s="542">
        <v>134</v>
      </c>
      <c r="D10" s="542">
        <v>100</v>
      </c>
      <c r="E10" s="542">
        <v>0</v>
      </c>
      <c r="F10" s="543"/>
      <c r="G10" s="383">
        <f aca="true" t="shared" si="0" ref="G10:G21">SUM(H10:I10)</f>
        <v>18505</v>
      </c>
      <c r="H10" s="536">
        <v>18505</v>
      </c>
      <c r="I10" s="536">
        <v>0</v>
      </c>
    </row>
    <row r="11" spans="1:9" ht="31.5">
      <c r="A11" s="378" t="s">
        <v>256</v>
      </c>
      <c r="B11" s="383">
        <f aca="true" t="shared" si="1" ref="B11:B21">SUM(C11:E11)</f>
        <v>30253</v>
      </c>
      <c r="C11" s="542">
        <v>0</v>
      </c>
      <c r="D11" s="542">
        <v>0</v>
      </c>
      <c r="E11" s="542">
        <v>30253</v>
      </c>
      <c r="F11" s="543">
        <v>2074</v>
      </c>
      <c r="G11" s="383">
        <f t="shared" si="0"/>
        <v>6651</v>
      </c>
      <c r="H11" s="536">
        <v>0</v>
      </c>
      <c r="I11" s="536">
        <v>6651</v>
      </c>
    </row>
    <row r="12" spans="1:12" ht="31.5">
      <c r="A12" s="379" t="s">
        <v>257</v>
      </c>
      <c r="B12" s="384">
        <f>SUM(B14:B21)</f>
        <v>14088</v>
      </c>
      <c r="C12" s="544">
        <f>SUM(C14:C21)</f>
        <v>116</v>
      </c>
      <c r="D12" s="544">
        <f aca="true" t="shared" si="2" ref="D12:I12">SUM(D14:D21)</f>
        <v>184</v>
      </c>
      <c r="E12" s="544">
        <f t="shared" si="2"/>
        <v>13788</v>
      </c>
      <c r="F12" s="545">
        <f t="shared" si="2"/>
        <v>946</v>
      </c>
      <c r="G12" s="384">
        <f t="shared" si="2"/>
        <v>10566</v>
      </c>
      <c r="H12" s="380">
        <f t="shared" si="2"/>
        <v>7534</v>
      </c>
      <c r="I12" s="380">
        <f t="shared" si="2"/>
        <v>3032</v>
      </c>
      <c r="J12" s="300"/>
      <c r="L12" s="300"/>
    </row>
    <row r="13" spans="1:9" ht="28.5" customHeight="1">
      <c r="A13" s="386" t="s">
        <v>258</v>
      </c>
      <c r="B13" s="387"/>
      <c r="C13" s="388"/>
      <c r="D13" s="388"/>
      <c r="E13" s="388"/>
      <c r="F13" s="389"/>
      <c r="G13" s="387"/>
      <c r="H13" s="388"/>
      <c r="I13" s="390"/>
    </row>
    <row r="14" spans="1:9" ht="31.5">
      <c r="A14" s="381" t="s">
        <v>259</v>
      </c>
      <c r="B14" s="385">
        <f>SUM(C14:E14)</f>
        <v>2752</v>
      </c>
      <c r="C14" s="536">
        <v>116</v>
      </c>
      <c r="D14" s="536">
        <v>24</v>
      </c>
      <c r="E14" s="536">
        <v>2612</v>
      </c>
      <c r="F14" s="546">
        <v>179</v>
      </c>
      <c r="G14" s="385">
        <f t="shared" si="0"/>
        <v>2022</v>
      </c>
      <c r="H14" s="536">
        <v>1448</v>
      </c>
      <c r="I14" s="536">
        <v>574</v>
      </c>
    </row>
    <row r="15" spans="1:9" ht="30" customHeight="1">
      <c r="A15" s="382" t="s">
        <v>260</v>
      </c>
      <c r="B15" s="383">
        <f t="shared" si="1"/>
        <v>1499</v>
      </c>
      <c r="C15" s="536">
        <v>0</v>
      </c>
      <c r="D15" s="536">
        <v>22</v>
      </c>
      <c r="E15" s="536">
        <v>1477</v>
      </c>
      <c r="F15" s="546">
        <v>101</v>
      </c>
      <c r="G15" s="383">
        <f t="shared" si="0"/>
        <v>1151</v>
      </c>
      <c r="H15" s="536">
        <v>826</v>
      </c>
      <c r="I15" s="536">
        <v>325</v>
      </c>
    </row>
    <row r="16" spans="1:9" ht="31.5" customHeight="1">
      <c r="A16" s="382" t="s">
        <v>261</v>
      </c>
      <c r="B16" s="383">
        <f t="shared" si="1"/>
        <v>806</v>
      </c>
      <c r="C16" s="536">
        <v>0</v>
      </c>
      <c r="D16" s="536">
        <v>20</v>
      </c>
      <c r="E16" s="536">
        <v>786</v>
      </c>
      <c r="F16" s="546">
        <v>54</v>
      </c>
      <c r="G16" s="383">
        <f t="shared" si="0"/>
        <v>554</v>
      </c>
      <c r="H16" s="536">
        <v>381</v>
      </c>
      <c r="I16" s="536">
        <v>173</v>
      </c>
    </row>
    <row r="17" spans="1:9" ht="31.5">
      <c r="A17" s="382" t="s">
        <v>262</v>
      </c>
      <c r="B17" s="383">
        <f t="shared" si="1"/>
        <v>2350</v>
      </c>
      <c r="C17" s="536">
        <v>0</v>
      </c>
      <c r="D17" s="536">
        <v>19</v>
      </c>
      <c r="E17" s="536">
        <v>2331</v>
      </c>
      <c r="F17" s="546">
        <v>160</v>
      </c>
      <c r="G17" s="383">
        <f t="shared" si="0"/>
        <v>1801</v>
      </c>
      <c r="H17" s="536">
        <v>1289</v>
      </c>
      <c r="I17" s="536">
        <v>512</v>
      </c>
    </row>
    <row r="18" spans="1:9" ht="37.5" customHeight="1">
      <c r="A18" s="382" t="s">
        <v>263</v>
      </c>
      <c r="B18" s="383">
        <f t="shared" si="1"/>
        <v>638</v>
      </c>
      <c r="C18" s="536">
        <v>0</v>
      </c>
      <c r="D18" s="536">
        <v>26</v>
      </c>
      <c r="E18" s="536">
        <v>612</v>
      </c>
      <c r="F18" s="546">
        <v>42</v>
      </c>
      <c r="G18" s="383">
        <f t="shared" si="0"/>
        <v>553</v>
      </c>
      <c r="H18" s="536">
        <v>418</v>
      </c>
      <c r="I18" s="536">
        <v>135</v>
      </c>
    </row>
    <row r="19" spans="1:9" ht="31.5">
      <c r="A19" s="382" t="s">
        <v>264</v>
      </c>
      <c r="B19" s="383">
        <f t="shared" si="1"/>
        <v>1195</v>
      </c>
      <c r="C19" s="536">
        <v>0</v>
      </c>
      <c r="D19" s="536">
        <v>19</v>
      </c>
      <c r="E19" s="536">
        <v>1176</v>
      </c>
      <c r="F19" s="546">
        <v>81</v>
      </c>
      <c r="G19" s="383">
        <f t="shared" si="0"/>
        <v>856</v>
      </c>
      <c r="H19" s="536">
        <v>597</v>
      </c>
      <c r="I19" s="536">
        <v>259</v>
      </c>
    </row>
    <row r="20" spans="1:9" ht="31.5">
      <c r="A20" s="382" t="s">
        <v>265</v>
      </c>
      <c r="B20" s="383">
        <f t="shared" si="1"/>
        <v>2176</v>
      </c>
      <c r="C20" s="536">
        <v>0</v>
      </c>
      <c r="D20" s="536">
        <v>32</v>
      </c>
      <c r="E20" s="536">
        <v>2144</v>
      </c>
      <c r="F20" s="546">
        <v>147</v>
      </c>
      <c r="G20" s="383">
        <f t="shared" si="0"/>
        <v>1639</v>
      </c>
      <c r="H20" s="536">
        <v>1168</v>
      </c>
      <c r="I20" s="536">
        <v>471</v>
      </c>
    </row>
    <row r="21" spans="1:9" ht="33" customHeight="1">
      <c r="A21" s="382" t="s">
        <v>266</v>
      </c>
      <c r="B21" s="383">
        <f t="shared" si="1"/>
        <v>2672</v>
      </c>
      <c r="C21" s="536">
        <v>0</v>
      </c>
      <c r="D21" s="536">
        <v>22</v>
      </c>
      <c r="E21" s="536">
        <v>2650</v>
      </c>
      <c r="F21" s="546">
        <v>182</v>
      </c>
      <c r="G21" s="383">
        <f t="shared" si="0"/>
        <v>1990</v>
      </c>
      <c r="H21" s="536">
        <v>1407</v>
      </c>
      <c r="I21" s="536">
        <v>583</v>
      </c>
    </row>
    <row r="22" spans="1:9" ht="20.25" customHeight="1">
      <c r="A22" s="287" t="s">
        <v>32</v>
      </c>
      <c r="B22" s="383">
        <f>B10+B11+B12</f>
        <v>44575</v>
      </c>
      <c r="C22" s="286">
        <f aca="true" t="shared" si="3" ref="C22:I22">C10+C11+C12</f>
        <v>250</v>
      </c>
      <c r="D22" s="286">
        <f t="shared" si="3"/>
        <v>284</v>
      </c>
      <c r="E22" s="286">
        <f t="shared" si="3"/>
        <v>44041</v>
      </c>
      <c r="F22" s="377">
        <f t="shared" si="3"/>
        <v>3020</v>
      </c>
      <c r="G22" s="383">
        <f t="shared" si="3"/>
        <v>35722</v>
      </c>
      <c r="H22" s="286">
        <f t="shared" si="3"/>
        <v>26039</v>
      </c>
      <c r="I22" s="286">
        <f t="shared" si="3"/>
        <v>9683</v>
      </c>
    </row>
    <row r="24" spans="3:9" ht="15.75">
      <c r="C24" s="527">
        <v>9.44</v>
      </c>
      <c r="E24" s="288">
        <v>1.54</v>
      </c>
      <c r="H24" s="283">
        <v>3.78</v>
      </c>
      <c r="I24" s="283">
        <v>1.34</v>
      </c>
    </row>
    <row r="25" spans="2:9" ht="15.75">
      <c r="B25" s="526">
        <f>SUM(C25:E25)-3</f>
        <v>72861</v>
      </c>
      <c r="C25" s="526">
        <f>ROUND((C22+D22)*C24,0)</f>
        <v>5041</v>
      </c>
      <c r="E25" s="526">
        <f>ROUND(E22*E24,0)</f>
        <v>67823</v>
      </c>
      <c r="G25" s="526">
        <f>SUM(H25:I25)</f>
        <v>111402</v>
      </c>
      <c r="H25" s="526">
        <f>ROUND(H22*H24,0)</f>
        <v>98427</v>
      </c>
      <c r="I25" s="526">
        <f>ROUND(I22*I24,0)</f>
        <v>12975</v>
      </c>
    </row>
    <row r="26" spans="2:7" ht="15.75">
      <c r="B26" s="529">
        <f>B25/B22</f>
        <v>1.634570947840718</v>
      </c>
      <c r="G26" s="529">
        <f>G25/G22</f>
        <v>3.11858238620458</v>
      </c>
    </row>
    <row r="27" spans="2:9" ht="15.75">
      <c r="B27" s="300"/>
      <c r="C27" s="300"/>
      <c r="D27" s="300"/>
      <c r="E27" s="300"/>
      <c r="F27" s="300"/>
      <c r="G27" s="300"/>
      <c r="H27" s="300"/>
      <c r="I27" s="300"/>
    </row>
    <row r="28" spans="2:9" ht="15.75">
      <c r="B28" s="300"/>
      <c r="C28" s="300"/>
      <c r="D28" s="300"/>
      <c r="E28" s="300"/>
      <c r="F28" s="300"/>
      <c r="G28" s="300"/>
      <c r="H28" s="300"/>
      <c r="I28" s="300"/>
    </row>
    <row r="29" spans="2:9" ht="15.75">
      <c r="B29" s="300"/>
      <c r="C29" s="300"/>
      <c r="D29" s="300"/>
      <c r="E29" s="300"/>
      <c r="F29" s="300"/>
      <c r="G29" s="300"/>
      <c r="H29" s="300"/>
      <c r="I29" s="300"/>
    </row>
  </sheetData>
  <sheetProtection/>
  <mergeCells count="12">
    <mergeCell ref="H7:H8"/>
    <mergeCell ref="I7:I8"/>
    <mergeCell ref="A3:I3"/>
    <mergeCell ref="A4:I4"/>
    <mergeCell ref="A6:A8"/>
    <mergeCell ref="B6:B8"/>
    <mergeCell ref="C6:E6"/>
    <mergeCell ref="G6:G8"/>
    <mergeCell ref="H6:I6"/>
    <mergeCell ref="C7:C8"/>
    <mergeCell ref="D7:D8"/>
    <mergeCell ref="E7:E8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25"/>
  <sheetViews>
    <sheetView zoomScalePageLayoutView="0" workbookViewId="0" topLeftCell="A4">
      <selection activeCell="B25" sqref="B25:E25"/>
    </sheetView>
  </sheetViews>
  <sheetFormatPr defaultColWidth="9.140625" defaultRowHeight="12.75" outlineLevelCol="1"/>
  <cols>
    <col min="1" max="1" width="34.57421875" style="3" customWidth="1"/>
    <col min="2" max="2" width="14.421875" style="3" customWidth="1"/>
    <col min="3" max="3" width="16.28125" style="3" hidden="1" customWidth="1"/>
    <col min="4" max="4" width="13.140625" style="3" customWidth="1"/>
    <col min="5" max="5" width="15.7109375" style="3" customWidth="1"/>
    <col min="6" max="7" width="13.421875" style="3" hidden="1" customWidth="1" outlineLevel="1"/>
    <col min="8" max="15" width="12.00390625" style="3" hidden="1" customWidth="1" outlineLevel="1"/>
    <col min="16" max="16" width="14.421875" style="3" customWidth="1" collapsed="1"/>
    <col min="17" max="16384" width="9.140625" style="3" customWidth="1"/>
  </cols>
  <sheetData>
    <row r="1" spans="16:17" ht="15.75">
      <c r="P1" s="225" t="s">
        <v>397</v>
      </c>
      <c r="Q1" s="225"/>
    </row>
    <row r="2" spans="16:17" ht="15.75">
      <c r="P2" s="462"/>
      <c r="Q2" s="462"/>
    </row>
    <row r="3" spans="1:16" ht="42" customHeight="1">
      <c r="A3" s="655" t="str">
        <f>'1.1. ПРОФ.МЕРОПРИЯТИЯ'!A3:I3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</row>
    <row r="5" spans="1:16" ht="14.25">
      <c r="A5" s="670" t="s">
        <v>400</v>
      </c>
      <c r="B5" s="670"/>
      <c r="C5" s="670"/>
      <c r="D5" s="670"/>
      <c r="E5" s="670"/>
      <c r="F5" s="670"/>
      <c r="G5" s="670"/>
      <c r="H5" s="670"/>
      <c r="I5" s="670"/>
      <c r="J5" s="670"/>
      <c r="K5" s="670"/>
      <c r="L5" s="670"/>
      <c r="M5" s="670"/>
      <c r="N5" s="670"/>
      <c r="O5" s="670"/>
      <c r="P5" s="670"/>
    </row>
    <row r="6" ht="13.5" thickBot="1"/>
    <row r="7" spans="1:16" ht="15" customHeight="1">
      <c r="A7" s="671" t="s">
        <v>381</v>
      </c>
      <c r="B7" s="673" t="s">
        <v>391</v>
      </c>
      <c r="C7" s="673" t="s">
        <v>393</v>
      </c>
      <c r="D7" s="673" t="s">
        <v>221</v>
      </c>
      <c r="E7" s="673" t="s">
        <v>394</v>
      </c>
      <c r="F7" s="675" t="s">
        <v>208</v>
      </c>
      <c r="G7" s="676"/>
      <c r="H7" s="676"/>
      <c r="I7" s="676"/>
      <c r="J7" s="676"/>
      <c r="K7" s="676"/>
      <c r="L7" s="676"/>
      <c r="M7" s="676"/>
      <c r="N7" s="676"/>
      <c r="O7" s="677"/>
      <c r="P7" s="668" t="s">
        <v>392</v>
      </c>
    </row>
    <row r="8" spans="1:16" ht="68.25" customHeight="1" thickBot="1">
      <c r="A8" s="672"/>
      <c r="B8" s="674"/>
      <c r="C8" s="674"/>
      <c r="D8" s="674"/>
      <c r="E8" s="674"/>
      <c r="F8" s="491" t="s">
        <v>382</v>
      </c>
      <c r="G8" s="491" t="s">
        <v>418</v>
      </c>
      <c r="H8" s="491" t="s">
        <v>383</v>
      </c>
      <c r="I8" s="491" t="s">
        <v>384</v>
      </c>
      <c r="J8" s="491" t="s">
        <v>385</v>
      </c>
      <c r="K8" s="491" t="s">
        <v>386</v>
      </c>
      <c r="L8" s="491" t="s">
        <v>387</v>
      </c>
      <c r="M8" s="491" t="s">
        <v>388</v>
      </c>
      <c r="N8" s="491" t="s">
        <v>389</v>
      </c>
      <c r="O8" s="491" t="s">
        <v>390</v>
      </c>
      <c r="P8" s="669"/>
    </row>
    <row r="9" spans="1:18" ht="18.75" customHeight="1">
      <c r="A9" s="489" t="s">
        <v>69</v>
      </c>
      <c r="B9" s="548">
        <v>1331</v>
      </c>
      <c r="C9" s="548">
        <v>0</v>
      </c>
      <c r="D9" s="549">
        <v>0</v>
      </c>
      <c r="E9" s="548">
        <f>SUM(F9:O9)</f>
        <v>775</v>
      </c>
      <c r="F9" s="492">
        <v>103</v>
      </c>
      <c r="G9" s="492"/>
      <c r="H9" s="492">
        <v>87</v>
      </c>
      <c r="I9" s="492">
        <v>100</v>
      </c>
      <c r="J9" s="492">
        <v>85</v>
      </c>
      <c r="K9" s="492">
        <v>60</v>
      </c>
      <c r="L9" s="492">
        <v>120</v>
      </c>
      <c r="M9" s="492">
        <v>80</v>
      </c>
      <c r="N9" s="492">
        <v>50</v>
      </c>
      <c r="O9" s="492">
        <v>90</v>
      </c>
      <c r="P9" s="486">
        <f>B9+C9+D9+E9</f>
        <v>2106</v>
      </c>
      <c r="R9" s="6"/>
    </row>
    <row r="10" spans="1:18" ht="18.75" customHeight="1">
      <c r="A10" s="480" t="s">
        <v>13</v>
      </c>
      <c r="B10" s="550">
        <v>0</v>
      </c>
      <c r="C10" s="550">
        <v>0</v>
      </c>
      <c r="D10" s="551">
        <v>0</v>
      </c>
      <c r="E10" s="550">
        <f aca="true" t="shared" si="0" ref="E10:E21">SUM(F10:O10)</f>
        <v>986</v>
      </c>
      <c r="F10" s="493">
        <v>0</v>
      </c>
      <c r="G10" s="493">
        <v>663</v>
      </c>
      <c r="H10" s="493">
        <v>86</v>
      </c>
      <c r="I10" s="493">
        <v>86</v>
      </c>
      <c r="J10" s="493">
        <v>0</v>
      </c>
      <c r="K10" s="493">
        <v>0</v>
      </c>
      <c r="L10" s="493">
        <v>0</v>
      </c>
      <c r="M10" s="493">
        <v>0</v>
      </c>
      <c r="N10" s="493">
        <v>86</v>
      </c>
      <c r="O10" s="493">
        <v>65</v>
      </c>
      <c r="P10" s="487">
        <f aca="true" t="shared" si="1" ref="P10:P21">B10+C10+D10+E10</f>
        <v>986</v>
      </c>
      <c r="R10" s="6"/>
    </row>
    <row r="11" spans="1:18" ht="18.75" customHeight="1">
      <c r="A11" s="489" t="s">
        <v>79</v>
      </c>
      <c r="B11" s="550">
        <v>0</v>
      </c>
      <c r="C11" s="550">
        <v>0</v>
      </c>
      <c r="D11" s="551">
        <v>414</v>
      </c>
      <c r="E11" s="550">
        <f t="shared" si="0"/>
        <v>255</v>
      </c>
      <c r="F11" s="493">
        <v>0</v>
      </c>
      <c r="G11" s="493"/>
      <c r="H11" s="493">
        <v>0</v>
      </c>
      <c r="I11" s="493">
        <v>0</v>
      </c>
      <c r="J11" s="493">
        <v>0</v>
      </c>
      <c r="K11" s="493">
        <v>0</v>
      </c>
      <c r="L11" s="493">
        <v>0</v>
      </c>
      <c r="M11" s="493">
        <v>0</v>
      </c>
      <c r="N11" s="493">
        <v>133</v>
      </c>
      <c r="O11" s="493">
        <v>122</v>
      </c>
      <c r="P11" s="487">
        <f t="shared" si="1"/>
        <v>669</v>
      </c>
      <c r="R11" s="6"/>
    </row>
    <row r="12" spans="1:18" ht="18.75" customHeight="1">
      <c r="A12" s="480" t="s">
        <v>65</v>
      </c>
      <c r="B12" s="550">
        <v>0</v>
      </c>
      <c r="C12" s="550">
        <v>0</v>
      </c>
      <c r="D12" s="551">
        <v>288</v>
      </c>
      <c r="E12" s="550">
        <f t="shared" si="0"/>
        <v>99</v>
      </c>
      <c r="F12" s="493">
        <v>0</v>
      </c>
      <c r="G12" s="493"/>
      <c r="H12" s="493">
        <v>0</v>
      </c>
      <c r="I12" s="493">
        <v>0</v>
      </c>
      <c r="J12" s="493">
        <v>0</v>
      </c>
      <c r="K12" s="493">
        <v>0</v>
      </c>
      <c r="L12" s="493">
        <v>0</v>
      </c>
      <c r="M12" s="493">
        <v>0</v>
      </c>
      <c r="N12" s="493">
        <v>99</v>
      </c>
      <c r="O12" s="493">
        <v>0</v>
      </c>
      <c r="P12" s="487">
        <f t="shared" si="1"/>
        <v>387</v>
      </c>
      <c r="R12" s="6"/>
    </row>
    <row r="13" spans="1:18" ht="18.75" customHeight="1">
      <c r="A13" s="480" t="s">
        <v>3</v>
      </c>
      <c r="B13" s="550">
        <v>0</v>
      </c>
      <c r="C13" s="550">
        <v>0</v>
      </c>
      <c r="D13" s="551">
        <v>1419</v>
      </c>
      <c r="E13" s="550">
        <f t="shared" si="0"/>
        <v>1151</v>
      </c>
      <c r="F13" s="493">
        <v>0</v>
      </c>
      <c r="G13" s="493"/>
      <c r="H13" s="493">
        <v>177</v>
      </c>
      <c r="I13" s="493">
        <v>177</v>
      </c>
      <c r="J13" s="493">
        <v>0</v>
      </c>
      <c r="K13" s="493">
        <v>0</v>
      </c>
      <c r="L13" s="493">
        <v>177</v>
      </c>
      <c r="M13" s="493">
        <v>177</v>
      </c>
      <c r="N13" s="493">
        <v>266</v>
      </c>
      <c r="O13" s="493">
        <v>177</v>
      </c>
      <c r="P13" s="487">
        <f t="shared" si="1"/>
        <v>2570</v>
      </c>
      <c r="R13" s="6"/>
    </row>
    <row r="14" spans="1:18" ht="18.75" customHeight="1">
      <c r="A14" s="480" t="s">
        <v>6</v>
      </c>
      <c r="B14" s="550">
        <v>0</v>
      </c>
      <c r="C14" s="550">
        <v>0</v>
      </c>
      <c r="D14" s="551">
        <v>0</v>
      </c>
      <c r="E14" s="550">
        <f t="shared" si="0"/>
        <v>3274</v>
      </c>
      <c r="F14" s="493">
        <v>2555</v>
      </c>
      <c r="G14" s="493"/>
      <c r="H14" s="493">
        <v>258</v>
      </c>
      <c r="I14" s="493">
        <v>65</v>
      </c>
      <c r="J14" s="493">
        <v>0</v>
      </c>
      <c r="K14" s="493">
        <v>0</v>
      </c>
      <c r="L14" s="493">
        <v>0</v>
      </c>
      <c r="M14" s="493">
        <v>0</v>
      </c>
      <c r="N14" s="493">
        <v>188</v>
      </c>
      <c r="O14" s="493">
        <v>208</v>
      </c>
      <c r="P14" s="487">
        <f t="shared" si="1"/>
        <v>3274</v>
      </c>
      <c r="R14" s="6"/>
    </row>
    <row r="15" spans="1:18" ht="18.75" customHeight="1">
      <c r="A15" s="480" t="s">
        <v>70</v>
      </c>
      <c r="B15" s="550">
        <v>0</v>
      </c>
      <c r="C15" s="550">
        <v>0</v>
      </c>
      <c r="D15" s="551">
        <v>335</v>
      </c>
      <c r="E15" s="550">
        <f t="shared" si="0"/>
        <v>228</v>
      </c>
      <c r="F15" s="493">
        <v>0</v>
      </c>
      <c r="G15" s="493"/>
      <c r="H15" s="493">
        <v>65</v>
      </c>
      <c r="I15" s="493">
        <v>0</v>
      </c>
      <c r="J15" s="493">
        <v>0</v>
      </c>
      <c r="K15" s="493">
        <v>0</v>
      </c>
      <c r="L15" s="493">
        <v>0</v>
      </c>
      <c r="M15" s="493">
        <v>0</v>
      </c>
      <c r="N15" s="493">
        <v>98</v>
      </c>
      <c r="O15" s="493">
        <v>65</v>
      </c>
      <c r="P15" s="487">
        <f t="shared" si="1"/>
        <v>563</v>
      </c>
      <c r="R15" s="6"/>
    </row>
    <row r="16" spans="1:18" ht="18.75" customHeight="1">
      <c r="A16" s="480" t="s">
        <v>2</v>
      </c>
      <c r="B16" s="550">
        <v>0</v>
      </c>
      <c r="C16" s="550">
        <v>0</v>
      </c>
      <c r="D16" s="551">
        <v>927</v>
      </c>
      <c r="E16" s="550">
        <f t="shared" si="0"/>
        <v>340</v>
      </c>
      <c r="F16" s="493">
        <v>0</v>
      </c>
      <c r="G16" s="493"/>
      <c r="H16" s="493">
        <v>140</v>
      </c>
      <c r="I16" s="493">
        <v>0</v>
      </c>
      <c r="J16" s="493">
        <v>0</v>
      </c>
      <c r="K16" s="493">
        <v>0</v>
      </c>
      <c r="L16" s="493">
        <v>0</v>
      </c>
      <c r="M16" s="493">
        <v>0</v>
      </c>
      <c r="N16" s="493">
        <v>200</v>
      </c>
      <c r="O16" s="493">
        <v>0</v>
      </c>
      <c r="P16" s="487">
        <f t="shared" si="1"/>
        <v>1267</v>
      </c>
      <c r="R16" s="6"/>
    </row>
    <row r="17" spans="1:18" ht="18.75" customHeight="1">
      <c r="A17" s="480" t="s">
        <v>0</v>
      </c>
      <c r="B17" s="550">
        <v>0</v>
      </c>
      <c r="C17" s="550">
        <v>0</v>
      </c>
      <c r="D17" s="550">
        <v>14299</v>
      </c>
      <c r="E17" s="550">
        <f t="shared" si="0"/>
        <v>6336</v>
      </c>
      <c r="F17" s="493">
        <v>0</v>
      </c>
      <c r="G17" s="493"/>
      <c r="H17" s="547">
        <v>1440</v>
      </c>
      <c r="I17" s="547">
        <v>576</v>
      </c>
      <c r="J17" s="547">
        <v>288</v>
      </c>
      <c r="K17" s="547">
        <v>288</v>
      </c>
      <c r="L17" s="547">
        <v>864</v>
      </c>
      <c r="M17" s="547">
        <v>576</v>
      </c>
      <c r="N17" s="547">
        <v>576</v>
      </c>
      <c r="O17" s="493">
        <v>1728</v>
      </c>
      <c r="P17" s="487">
        <f t="shared" si="1"/>
        <v>20635</v>
      </c>
      <c r="R17" s="6"/>
    </row>
    <row r="18" spans="1:18" ht="18.75" customHeight="1">
      <c r="A18" s="489" t="s">
        <v>67</v>
      </c>
      <c r="B18" s="550">
        <v>0</v>
      </c>
      <c r="C18" s="550">
        <v>0</v>
      </c>
      <c r="D18" s="550">
        <v>161</v>
      </c>
      <c r="E18" s="550">
        <f t="shared" si="0"/>
        <v>15</v>
      </c>
      <c r="F18" s="493">
        <v>0</v>
      </c>
      <c r="G18" s="493"/>
      <c r="H18" s="493">
        <v>0</v>
      </c>
      <c r="I18" s="493">
        <v>0</v>
      </c>
      <c r="J18" s="493">
        <v>0</v>
      </c>
      <c r="K18" s="493">
        <v>0</v>
      </c>
      <c r="L18" s="493">
        <v>0</v>
      </c>
      <c r="M18" s="493">
        <v>0</v>
      </c>
      <c r="N18" s="493">
        <v>15</v>
      </c>
      <c r="O18" s="493">
        <v>0</v>
      </c>
      <c r="P18" s="487">
        <f t="shared" si="1"/>
        <v>176</v>
      </c>
      <c r="R18" s="6"/>
    </row>
    <row r="19" spans="1:18" ht="18.75" customHeight="1">
      <c r="A19" s="480" t="s">
        <v>1</v>
      </c>
      <c r="B19" s="550">
        <v>0</v>
      </c>
      <c r="C19" s="550">
        <v>0</v>
      </c>
      <c r="D19" s="550">
        <v>181</v>
      </c>
      <c r="E19" s="550">
        <f t="shared" si="0"/>
        <v>65</v>
      </c>
      <c r="F19" s="493">
        <v>0</v>
      </c>
      <c r="G19" s="493"/>
      <c r="H19" s="493">
        <v>0</v>
      </c>
      <c r="I19" s="493">
        <v>0</v>
      </c>
      <c r="J19" s="493">
        <v>0</v>
      </c>
      <c r="K19" s="493">
        <v>0</v>
      </c>
      <c r="L19" s="493">
        <v>0</v>
      </c>
      <c r="M19" s="493">
        <v>0</v>
      </c>
      <c r="N19" s="493">
        <v>65</v>
      </c>
      <c r="O19" s="493">
        <v>0</v>
      </c>
      <c r="P19" s="487">
        <f t="shared" si="1"/>
        <v>246</v>
      </c>
      <c r="R19" s="6"/>
    </row>
    <row r="20" spans="1:18" ht="18.75" customHeight="1">
      <c r="A20" s="480" t="s">
        <v>33</v>
      </c>
      <c r="B20" s="550">
        <v>0</v>
      </c>
      <c r="C20" s="550">
        <v>0</v>
      </c>
      <c r="D20" s="550">
        <v>447</v>
      </c>
      <c r="E20" s="550">
        <f t="shared" si="0"/>
        <v>539</v>
      </c>
      <c r="F20" s="493">
        <v>0</v>
      </c>
      <c r="G20" s="493"/>
      <c r="H20" s="493">
        <v>72</v>
      </c>
      <c r="I20" s="493">
        <v>90</v>
      </c>
      <c r="J20" s="493">
        <v>72</v>
      </c>
      <c r="K20" s="493">
        <v>35</v>
      </c>
      <c r="L20" s="493">
        <v>90</v>
      </c>
      <c r="M20" s="493">
        <v>72</v>
      </c>
      <c r="N20" s="493">
        <v>36</v>
      </c>
      <c r="O20" s="493">
        <v>72</v>
      </c>
      <c r="P20" s="487">
        <f t="shared" si="1"/>
        <v>986</v>
      </c>
      <c r="R20" s="6"/>
    </row>
    <row r="21" spans="1:18" ht="18.75" customHeight="1" thickBot="1">
      <c r="A21" s="481" t="s">
        <v>5</v>
      </c>
      <c r="B21" s="552">
        <v>0</v>
      </c>
      <c r="C21" s="552">
        <v>0</v>
      </c>
      <c r="D21" s="552">
        <v>1209</v>
      </c>
      <c r="E21" s="552">
        <f t="shared" si="0"/>
        <v>130</v>
      </c>
      <c r="F21" s="494">
        <v>0</v>
      </c>
      <c r="G21" s="494"/>
      <c r="H21" s="494">
        <v>0</v>
      </c>
      <c r="I21" s="494">
        <v>0</v>
      </c>
      <c r="J21" s="494">
        <v>0</v>
      </c>
      <c r="K21" s="494">
        <v>0</v>
      </c>
      <c r="L21" s="494">
        <v>0</v>
      </c>
      <c r="M21" s="494">
        <v>0</v>
      </c>
      <c r="N21" s="494">
        <v>130</v>
      </c>
      <c r="O21" s="494">
        <v>0</v>
      </c>
      <c r="P21" s="488">
        <f t="shared" si="1"/>
        <v>1339</v>
      </c>
      <c r="R21" s="6"/>
    </row>
    <row r="22" spans="1:16" ht="20.25" customHeight="1" thickBot="1">
      <c r="A22" s="482" t="s">
        <v>289</v>
      </c>
      <c r="B22" s="483">
        <f>SUM(B9:B21)</f>
        <v>1331</v>
      </c>
      <c r="C22" s="483">
        <f>SUM(C9:C21)</f>
        <v>0</v>
      </c>
      <c r="D22" s="484">
        <f>SUM(D9:D21)</f>
        <v>19680</v>
      </c>
      <c r="E22" s="483">
        <f>SUM(E9:E21)</f>
        <v>14193</v>
      </c>
      <c r="F22" s="495">
        <f aca="true" t="shared" si="2" ref="F22:O22">SUM(F9:F21)</f>
        <v>2658</v>
      </c>
      <c r="G22" s="495">
        <f t="shared" si="2"/>
        <v>663</v>
      </c>
      <c r="H22" s="495">
        <f t="shared" si="2"/>
        <v>2325</v>
      </c>
      <c r="I22" s="495">
        <f t="shared" si="2"/>
        <v>1094</v>
      </c>
      <c r="J22" s="495">
        <f t="shared" si="2"/>
        <v>445</v>
      </c>
      <c r="K22" s="495">
        <f t="shared" si="2"/>
        <v>383</v>
      </c>
      <c r="L22" s="495">
        <f t="shared" si="2"/>
        <v>1251</v>
      </c>
      <c r="M22" s="495">
        <f t="shared" si="2"/>
        <v>905</v>
      </c>
      <c r="N22" s="495">
        <f t="shared" si="2"/>
        <v>1942</v>
      </c>
      <c r="O22" s="495">
        <f t="shared" si="2"/>
        <v>2527</v>
      </c>
      <c r="P22" s="485">
        <f>SUM(B22:E22)</f>
        <v>35204</v>
      </c>
    </row>
    <row r="24" spans="2:16" ht="12.75">
      <c r="B24" s="3">
        <v>1172</v>
      </c>
      <c r="C24" s="3">
        <v>0</v>
      </c>
      <c r="D24" s="3">
        <v>16452</v>
      </c>
      <c r="E24" s="3">
        <v>17580</v>
      </c>
      <c r="P24" s="6"/>
    </row>
    <row r="25" spans="2:5" ht="12.75">
      <c r="B25" s="6">
        <f>B22-B24</f>
        <v>159</v>
      </c>
      <c r="C25" s="6">
        <f>C22-C24</f>
        <v>0</v>
      </c>
      <c r="D25" s="6">
        <f>D22-D24</f>
        <v>3228</v>
      </c>
      <c r="E25" s="6">
        <f>E22-E24</f>
        <v>-3387</v>
      </c>
    </row>
  </sheetData>
  <sheetProtection/>
  <mergeCells count="9">
    <mergeCell ref="P7:P8"/>
    <mergeCell ref="A3:P3"/>
    <mergeCell ref="A5:P5"/>
    <mergeCell ref="A7:A8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73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3" sqref="H13"/>
    </sheetView>
  </sheetViews>
  <sheetFormatPr defaultColWidth="9.140625" defaultRowHeight="12.75"/>
  <cols>
    <col min="1" max="1" width="7.421875" style="72" customWidth="1"/>
    <col min="2" max="2" width="69.00390625" style="83" customWidth="1"/>
    <col min="3" max="3" width="10.28125" style="10" customWidth="1"/>
    <col min="4" max="4" width="12.7109375" style="72" customWidth="1"/>
    <col min="5" max="5" width="15.140625" style="72" customWidth="1"/>
    <col min="6" max="6" width="12.28125" style="72" customWidth="1"/>
    <col min="7" max="7" width="12.57421875" style="73" customWidth="1"/>
    <col min="8" max="8" width="10.421875" style="72" customWidth="1"/>
    <col min="9" max="9" width="13.57421875" style="72" customWidth="1"/>
    <col min="10" max="10" width="11.57421875" style="72" customWidth="1"/>
    <col min="11" max="12" width="10.00390625" style="72" customWidth="1"/>
    <col min="13" max="13" width="12.00390625" style="72" customWidth="1"/>
    <col min="14" max="15" width="12.00390625" style="72" bestFit="1" customWidth="1"/>
    <col min="16" max="16" width="12.421875" style="72" customWidth="1"/>
    <col min="17" max="17" width="11.140625" style="72" bestFit="1" customWidth="1"/>
    <col min="18" max="18" width="9.140625" style="72" customWidth="1"/>
    <col min="19" max="19" width="10.00390625" style="72" bestFit="1" customWidth="1"/>
    <col min="20" max="16384" width="9.140625" style="72" customWidth="1"/>
  </cols>
  <sheetData>
    <row r="1" spans="10:13" ht="15.75">
      <c r="J1" s="679" t="s">
        <v>398</v>
      </c>
      <c r="K1" s="679"/>
      <c r="L1" s="679"/>
      <c r="M1" s="679"/>
    </row>
    <row r="3" spans="1:13" ht="29.25" customHeight="1">
      <c r="A3" s="659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659"/>
    </row>
    <row r="4" spans="1:13" ht="32.25" customHeight="1">
      <c r="A4" s="678" t="s">
        <v>399</v>
      </c>
      <c r="B4" s="678"/>
      <c r="C4" s="678"/>
      <c r="D4" s="678"/>
      <c r="E4" s="678"/>
      <c r="F4" s="678"/>
      <c r="G4" s="678"/>
      <c r="H4" s="678"/>
      <c r="I4" s="678"/>
      <c r="J4" s="678"/>
      <c r="K4" s="678"/>
      <c r="L4" s="678"/>
      <c r="M4" s="678"/>
    </row>
    <row r="6" spans="1:13" ht="51" customHeight="1">
      <c r="A6" s="101"/>
      <c r="B6" s="88" t="s">
        <v>106</v>
      </c>
      <c r="C6" s="102" t="s">
        <v>64</v>
      </c>
      <c r="D6" s="103" t="s">
        <v>42</v>
      </c>
      <c r="E6" s="103" t="s">
        <v>55</v>
      </c>
      <c r="F6" s="103" t="s">
        <v>41</v>
      </c>
      <c r="G6" s="103" t="s">
        <v>221</v>
      </c>
      <c r="H6" s="103" t="s">
        <v>107</v>
      </c>
      <c r="I6" s="103" t="s">
        <v>114</v>
      </c>
      <c r="J6" s="103" t="s">
        <v>330</v>
      </c>
      <c r="K6" s="103" t="s">
        <v>241</v>
      </c>
      <c r="L6" s="103" t="s">
        <v>419</v>
      </c>
      <c r="M6" s="103" t="s">
        <v>198</v>
      </c>
    </row>
    <row r="7" spans="1:13" ht="15">
      <c r="A7" s="101">
        <v>1</v>
      </c>
      <c r="B7" s="224">
        <v>2</v>
      </c>
      <c r="C7" s="223">
        <v>3</v>
      </c>
      <c r="D7" s="103">
        <v>4</v>
      </c>
      <c r="E7" s="103">
        <v>5</v>
      </c>
      <c r="F7" s="103">
        <v>6</v>
      </c>
      <c r="G7" s="103">
        <v>7</v>
      </c>
      <c r="H7" s="103">
        <v>8</v>
      </c>
      <c r="I7" s="223">
        <v>9</v>
      </c>
      <c r="J7" s="223">
        <v>10</v>
      </c>
      <c r="K7" s="223">
        <v>11</v>
      </c>
      <c r="L7" s="223">
        <v>12</v>
      </c>
      <c r="M7" s="223">
        <v>13</v>
      </c>
    </row>
    <row r="8" spans="1:18" ht="18" customHeight="1">
      <c r="A8" s="104">
        <v>1</v>
      </c>
      <c r="B8" s="301" t="s">
        <v>201</v>
      </c>
      <c r="C8" s="99">
        <f aca="true" t="shared" si="0" ref="C8:C29">SUM(D8:M8)</f>
        <v>7321</v>
      </c>
      <c r="D8" s="100">
        <f aca="true" t="shared" si="1" ref="D8:M8">SUM(D9:D10)</f>
        <v>5991</v>
      </c>
      <c r="E8" s="100">
        <f t="shared" si="1"/>
        <v>1330</v>
      </c>
      <c r="F8" s="100">
        <f t="shared" si="1"/>
        <v>0</v>
      </c>
      <c r="G8" s="100">
        <f t="shared" si="1"/>
        <v>0</v>
      </c>
      <c r="H8" s="100">
        <f t="shared" si="1"/>
        <v>0</v>
      </c>
      <c r="I8" s="100">
        <f t="shared" si="1"/>
        <v>0</v>
      </c>
      <c r="J8" s="100">
        <f t="shared" si="1"/>
        <v>0</v>
      </c>
      <c r="K8" s="100">
        <f t="shared" si="1"/>
        <v>0</v>
      </c>
      <c r="L8" s="100">
        <f t="shared" si="1"/>
        <v>0</v>
      </c>
      <c r="M8" s="100">
        <f t="shared" si="1"/>
        <v>0</v>
      </c>
      <c r="O8" s="364">
        <f>SUM(O9:O10)</f>
        <v>52105.084149999995</v>
      </c>
      <c r="P8" s="364">
        <f>SUM(P9:P10)</f>
        <v>9430.5645</v>
      </c>
      <c r="R8" s="109"/>
    </row>
    <row r="9" spans="1:18" ht="15" customHeight="1">
      <c r="A9" s="75" t="s">
        <v>87</v>
      </c>
      <c r="B9" s="84" t="s">
        <v>88</v>
      </c>
      <c r="C9" s="79">
        <f t="shared" si="0"/>
        <v>5396</v>
      </c>
      <c r="D9" s="77">
        <v>4066</v>
      </c>
      <c r="E9" s="77">
        <v>1330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2">
        <v>7090.65</v>
      </c>
      <c r="O9" s="364">
        <f>N9*D9/1000</f>
        <v>28830.582899999998</v>
      </c>
      <c r="P9" s="364">
        <f>E9*N9/1000</f>
        <v>9430.5645</v>
      </c>
      <c r="R9" s="109"/>
    </row>
    <row r="10" spans="1:18" ht="15" customHeight="1">
      <c r="A10" s="75" t="s">
        <v>89</v>
      </c>
      <c r="B10" s="85" t="s">
        <v>90</v>
      </c>
      <c r="C10" s="79">
        <f t="shared" si="0"/>
        <v>1925</v>
      </c>
      <c r="D10" s="77">
        <v>1925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2">
        <v>12090.65</v>
      </c>
      <c r="O10" s="364">
        <f>N10*D10/1000</f>
        <v>23274.50125</v>
      </c>
      <c r="P10" s="364">
        <f>E10*N10/1000</f>
        <v>0</v>
      </c>
      <c r="R10" s="109"/>
    </row>
    <row r="11" spans="1:18" s="76" customFormat="1" ht="15" customHeight="1">
      <c r="A11" s="75" t="s">
        <v>91</v>
      </c>
      <c r="B11" s="85" t="s">
        <v>92</v>
      </c>
      <c r="C11" s="79">
        <f t="shared" si="0"/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R11" s="109"/>
    </row>
    <row r="12" spans="1:25" s="76" customFormat="1" ht="18.75" customHeight="1">
      <c r="A12" s="94">
        <v>2</v>
      </c>
      <c r="B12" s="302" t="s">
        <v>202</v>
      </c>
      <c r="C12" s="99">
        <f t="shared" si="0"/>
        <v>2856</v>
      </c>
      <c r="D12" s="596">
        <f>SUM(D13:D15)</f>
        <v>2795</v>
      </c>
      <c r="E12" s="100">
        <f aca="true" t="shared" si="2" ref="E12:L12">SUM(E13:E15)</f>
        <v>0</v>
      </c>
      <c r="F12" s="100">
        <f t="shared" si="2"/>
        <v>0</v>
      </c>
      <c r="G12" s="100">
        <f t="shared" si="2"/>
        <v>0</v>
      </c>
      <c r="H12" s="596">
        <f t="shared" si="2"/>
        <v>61</v>
      </c>
      <c r="I12" s="100">
        <f t="shared" si="2"/>
        <v>0</v>
      </c>
      <c r="J12" s="100">
        <f t="shared" si="2"/>
        <v>0</v>
      </c>
      <c r="K12" s="100">
        <f t="shared" si="2"/>
        <v>0</v>
      </c>
      <c r="L12" s="100">
        <f t="shared" si="2"/>
        <v>0</v>
      </c>
      <c r="M12" s="100">
        <f>SUM(M13:M15)</f>
        <v>0</v>
      </c>
      <c r="O12" s="364">
        <f>SUM(O13:O14)</f>
        <v>35399.54125</v>
      </c>
      <c r="P12" s="364">
        <f>SUM(P13:P14)</f>
        <v>732.57675</v>
      </c>
      <c r="Q12" s="593"/>
      <c r="R12" s="594"/>
      <c r="S12" s="365"/>
      <c r="T12" s="365"/>
      <c r="U12" s="365"/>
      <c r="V12" s="365"/>
      <c r="W12" s="364"/>
      <c r="X12" s="364"/>
      <c r="Y12" s="364"/>
    </row>
    <row r="13" spans="1:25" s="76" customFormat="1" ht="15.75" customHeight="1">
      <c r="A13" s="75" t="s">
        <v>93</v>
      </c>
      <c r="B13" s="85" t="s">
        <v>88</v>
      </c>
      <c r="C13" s="79">
        <f t="shared" si="0"/>
        <v>2068</v>
      </c>
      <c r="D13" s="597">
        <f>1924+92</f>
        <v>2016</v>
      </c>
      <c r="E13" s="77">
        <v>0</v>
      </c>
      <c r="F13" s="77">
        <v>0</v>
      </c>
      <c r="G13" s="77">
        <v>0</v>
      </c>
      <c r="H13" s="597">
        <f>39+10+3</f>
        <v>52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6">
        <v>11271.75</v>
      </c>
      <c r="O13" s="364">
        <f>N13*D13/1000</f>
        <v>22723.848</v>
      </c>
      <c r="P13" s="364">
        <f>H13*N13/1000</f>
        <v>586.131</v>
      </c>
      <c r="Q13" s="593"/>
      <c r="R13" s="594"/>
      <c r="S13" s="365"/>
      <c r="T13" s="365"/>
      <c r="U13" s="365"/>
      <c r="V13" s="365"/>
      <c r="W13" s="365"/>
      <c r="Y13" s="364"/>
    </row>
    <row r="14" spans="1:25" ht="15.75" customHeight="1">
      <c r="A14" s="75" t="s">
        <v>94</v>
      </c>
      <c r="B14" s="85" t="s">
        <v>90</v>
      </c>
      <c r="C14" s="79">
        <f t="shared" si="0"/>
        <v>788</v>
      </c>
      <c r="D14" s="597">
        <f>742+37</f>
        <v>779</v>
      </c>
      <c r="E14" s="77">
        <v>0</v>
      </c>
      <c r="F14" s="77">
        <v>0</v>
      </c>
      <c r="G14" s="77">
        <v>0</v>
      </c>
      <c r="H14" s="597">
        <f>3+6</f>
        <v>9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2">
        <v>16271.75</v>
      </c>
      <c r="O14" s="364">
        <f>N14*D14/1000</f>
        <v>12675.69325</v>
      </c>
      <c r="P14" s="364">
        <f>H14*N14/1000</f>
        <v>146.44575</v>
      </c>
      <c r="Q14" s="595"/>
      <c r="R14" s="594"/>
      <c r="S14" s="366"/>
      <c r="T14" s="366"/>
      <c r="U14" s="366"/>
      <c r="V14" s="366"/>
      <c r="W14" s="365"/>
      <c r="Y14" s="364"/>
    </row>
    <row r="15" spans="1:18" s="76" customFormat="1" ht="15.75" customHeight="1">
      <c r="A15" s="75" t="s">
        <v>95</v>
      </c>
      <c r="B15" s="85" t="s">
        <v>92</v>
      </c>
      <c r="C15" s="79">
        <f t="shared" si="0"/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Q15" s="593"/>
      <c r="R15" s="594"/>
    </row>
    <row r="16" spans="1:18" s="76" customFormat="1" ht="19.5" customHeight="1">
      <c r="A16" s="98">
        <v>3</v>
      </c>
      <c r="B16" s="302" t="s">
        <v>442</v>
      </c>
      <c r="C16" s="99">
        <f t="shared" si="0"/>
        <v>6142</v>
      </c>
      <c r="D16" s="100">
        <f aca="true" t="shared" si="3" ref="D16:M16">SUM(D17:D20)</f>
        <v>1405</v>
      </c>
      <c r="E16" s="100">
        <f t="shared" si="3"/>
        <v>1157</v>
      </c>
      <c r="F16" s="100">
        <f t="shared" si="3"/>
        <v>1450</v>
      </c>
      <c r="G16" s="100">
        <f t="shared" si="3"/>
        <v>2130</v>
      </c>
      <c r="H16" s="100">
        <f t="shared" si="3"/>
        <v>0</v>
      </c>
      <c r="I16" s="100">
        <f t="shared" si="3"/>
        <v>0</v>
      </c>
      <c r="J16" s="100">
        <f t="shared" si="3"/>
        <v>0</v>
      </c>
      <c r="K16" s="100">
        <f t="shared" si="3"/>
        <v>0</v>
      </c>
      <c r="L16" s="100">
        <f t="shared" si="3"/>
        <v>0</v>
      </c>
      <c r="M16" s="100">
        <f t="shared" si="3"/>
        <v>0</v>
      </c>
      <c r="O16" s="515">
        <f>SUM(O17:O20)</f>
        <v>3799.9512999999997</v>
      </c>
      <c r="P16" s="515">
        <f>SUM(P17:P20)</f>
        <v>3712.9066</v>
      </c>
      <c r="Q16" s="515">
        <f>SUM(Q17:Q20)</f>
        <v>3129.97</v>
      </c>
      <c r="R16" s="515">
        <f>SUM(R17:R20)</f>
        <v>5259.0162</v>
      </c>
    </row>
    <row r="17" spans="1:18" s="76" customFormat="1" ht="14.25" customHeight="1">
      <c r="A17" s="447" t="s">
        <v>96</v>
      </c>
      <c r="B17" s="86" t="s">
        <v>166</v>
      </c>
      <c r="C17" s="79">
        <f t="shared" si="0"/>
        <v>2471</v>
      </c>
      <c r="D17" s="7">
        <f>650+67</f>
        <v>717</v>
      </c>
      <c r="E17" s="7">
        <v>1136</v>
      </c>
      <c r="F17" s="7">
        <v>0</v>
      </c>
      <c r="G17" s="113">
        <v>618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6">
        <v>3228.5</v>
      </c>
      <c r="O17" s="364">
        <f>N17*D17/1000</f>
        <v>2314.8345</v>
      </c>
      <c r="P17" s="364">
        <f>E17*N17/1000</f>
        <v>3667.576</v>
      </c>
      <c r="Q17" s="364">
        <f>F17*N17/1000</f>
        <v>0</v>
      </c>
      <c r="R17" s="109">
        <f>G17*N17/1000</f>
        <v>1995.213</v>
      </c>
    </row>
    <row r="18" spans="1:18" ht="14.25" customHeight="1">
      <c r="A18" s="447" t="s">
        <v>97</v>
      </c>
      <c r="B18" s="86" t="s">
        <v>149</v>
      </c>
      <c r="C18" s="79">
        <f t="shared" si="0"/>
        <v>375</v>
      </c>
      <c r="D18" s="7">
        <v>363</v>
      </c>
      <c r="E18" s="7"/>
      <c r="F18" s="7">
        <v>0</v>
      </c>
      <c r="G18" s="113">
        <v>12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2">
        <v>2158.6</v>
      </c>
      <c r="O18" s="364">
        <f>N18*D18/1000</f>
        <v>783.5717999999999</v>
      </c>
      <c r="P18" s="364">
        <f>E18*N18/1000</f>
        <v>0</v>
      </c>
      <c r="Q18" s="364">
        <f>F18*N18/1000</f>
        <v>0</v>
      </c>
      <c r="R18" s="109">
        <f>G18*N18/1000</f>
        <v>25.9032</v>
      </c>
    </row>
    <row r="19" spans="1:18" ht="14.25" customHeight="1">
      <c r="A19" s="447" t="s">
        <v>98</v>
      </c>
      <c r="B19" s="86" t="s">
        <v>150</v>
      </c>
      <c r="C19" s="79">
        <f t="shared" si="0"/>
        <v>3296</v>
      </c>
      <c r="D19" s="7">
        <v>325</v>
      </c>
      <c r="E19" s="7">
        <v>21</v>
      </c>
      <c r="F19" s="7">
        <v>1450</v>
      </c>
      <c r="G19" s="113">
        <v>1500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2">
        <v>2158.6</v>
      </c>
      <c r="O19" s="364">
        <f>N19*D19/1000</f>
        <v>701.545</v>
      </c>
      <c r="P19" s="364">
        <f>E19*N19/1000</f>
        <v>45.3306</v>
      </c>
      <c r="Q19" s="364">
        <f>F19*N19/1000</f>
        <v>3129.97</v>
      </c>
      <c r="R19" s="109">
        <f>G19*N19/1000</f>
        <v>3237.9</v>
      </c>
    </row>
    <row r="20" spans="1:18" ht="14.25" customHeight="1">
      <c r="A20" s="74" t="s">
        <v>99</v>
      </c>
      <c r="B20" s="86" t="s">
        <v>92</v>
      </c>
      <c r="C20" s="79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R20" s="109"/>
    </row>
    <row r="21" spans="1:18" ht="19.5" customHeight="1">
      <c r="A21" s="94">
        <v>4</v>
      </c>
      <c r="B21" s="301" t="s">
        <v>200</v>
      </c>
      <c r="C21" s="99">
        <f t="shared" si="0"/>
        <v>5490</v>
      </c>
      <c r="D21" s="100">
        <f>SUM(D22:D29)</f>
        <v>4985</v>
      </c>
      <c r="E21" s="100">
        <f>SUM(E22:E29)</f>
        <v>105</v>
      </c>
      <c r="F21" s="100">
        <f>SUM(F22:F29)</f>
        <v>0</v>
      </c>
      <c r="G21" s="100">
        <f>SUM(G22:G29)</f>
        <v>400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O21" s="514">
        <f>SUM(O22:O29)</f>
        <v>16638.6571</v>
      </c>
      <c r="P21" s="514">
        <f>SUM(P22:P29)</f>
        <v>299.16540000000003</v>
      </c>
      <c r="R21" s="109"/>
    </row>
    <row r="22" spans="1:18" s="114" customFormat="1" ht="15.75">
      <c r="A22" s="110" t="s">
        <v>158</v>
      </c>
      <c r="B22" s="111" t="s">
        <v>151</v>
      </c>
      <c r="C22" s="79">
        <f t="shared" si="0"/>
        <v>373</v>
      </c>
      <c r="D22" s="113">
        <v>373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4">
        <v>2916.9</v>
      </c>
      <c r="O22" s="364">
        <f aca="true" t="shared" si="4" ref="O22:O29">N22*D22/1000</f>
        <v>1088.0037</v>
      </c>
      <c r="P22" s="364">
        <f aca="true" t="shared" si="5" ref="P22:P29">E22*N22/1000</f>
        <v>0</v>
      </c>
      <c r="R22" s="109"/>
    </row>
    <row r="23" spans="1:18" s="114" customFormat="1" ht="15.75">
      <c r="A23" s="110" t="s">
        <v>159</v>
      </c>
      <c r="B23" s="111" t="s">
        <v>152</v>
      </c>
      <c r="C23" s="79">
        <f t="shared" si="0"/>
        <v>3808</v>
      </c>
      <c r="D23" s="113">
        <f>3808-400-E23</f>
        <v>3304</v>
      </c>
      <c r="E23" s="113">
        <v>104</v>
      </c>
      <c r="F23" s="113">
        <v>0</v>
      </c>
      <c r="G23" s="113">
        <v>400</v>
      </c>
      <c r="H23" s="113">
        <v>0</v>
      </c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114">
        <v>2830.9</v>
      </c>
      <c r="O23" s="364">
        <f t="shared" si="4"/>
        <v>9353.293599999999</v>
      </c>
      <c r="P23" s="364">
        <f t="shared" si="5"/>
        <v>294.41360000000003</v>
      </c>
      <c r="R23" s="109"/>
    </row>
    <row r="24" spans="1:18" s="114" customFormat="1" ht="15.75">
      <c r="A24" s="110" t="s">
        <v>160</v>
      </c>
      <c r="B24" s="111" t="s">
        <v>153</v>
      </c>
      <c r="C24" s="79">
        <f t="shared" si="0"/>
        <v>0</v>
      </c>
      <c r="D24" s="113">
        <v>0</v>
      </c>
      <c r="E24" s="113"/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O24" s="364">
        <f t="shared" si="4"/>
        <v>0</v>
      </c>
      <c r="P24" s="364">
        <f t="shared" si="5"/>
        <v>0</v>
      </c>
      <c r="R24" s="109"/>
    </row>
    <row r="25" spans="1:18" s="114" customFormat="1" ht="15.75">
      <c r="A25" s="110" t="s">
        <v>161</v>
      </c>
      <c r="B25" s="111" t="s">
        <v>154</v>
      </c>
      <c r="C25" s="79">
        <f t="shared" si="0"/>
        <v>1301</v>
      </c>
      <c r="D25" s="113">
        <v>1300</v>
      </c>
      <c r="E25" s="113">
        <v>1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4">
        <v>4751.8</v>
      </c>
      <c r="O25" s="364">
        <f t="shared" si="4"/>
        <v>6177.34</v>
      </c>
      <c r="P25" s="364">
        <f t="shared" si="5"/>
        <v>4.7518</v>
      </c>
      <c r="R25" s="109"/>
    </row>
    <row r="26" spans="1:18" s="114" customFormat="1" ht="15.75">
      <c r="A26" s="110" t="s">
        <v>162</v>
      </c>
      <c r="B26" s="111" t="s">
        <v>155</v>
      </c>
      <c r="C26" s="79">
        <f t="shared" si="0"/>
        <v>1</v>
      </c>
      <c r="D26" s="113">
        <v>1</v>
      </c>
      <c r="E26" s="113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13">
        <v>0</v>
      </c>
      <c r="N26" s="114">
        <v>3098</v>
      </c>
      <c r="O26" s="364">
        <f t="shared" si="4"/>
        <v>3.098</v>
      </c>
      <c r="P26" s="364">
        <f t="shared" si="5"/>
        <v>0</v>
      </c>
      <c r="R26" s="109"/>
    </row>
    <row r="27" spans="1:18" s="114" customFormat="1" ht="15.75">
      <c r="A27" s="110" t="s">
        <v>163</v>
      </c>
      <c r="B27" s="111" t="s">
        <v>156</v>
      </c>
      <c r="C27" s="79">
        <f t="shared" si="0"/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O27" s="364">
        <f t="shared" si="4"/>
        <v>0</v>
      </c>
      <c r="P27" s="364">
        <f t="shared" si="5"/>
        <v>0</v>
      </c>
      <c r="R27" s="109"/>
    </row>
    <row r="28" spans="1:18" s="114" customFormat="1" ht="15.75">
      <c r="A28" s="110" t="s">
        <v>164</v>
      </c>
      <c r="B28" s="111" t="s">
        <v>157</v>
      </c>
      <c r="C28" s="79">
        <f t="shared" si="0"/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0</v>
      </c>
      <c r="M28" s="113">
        <v>0</v>
      </c>
      <c r="O28" s="364">
        <f t="shared" si="4"/>
        <v>0</v>
      </c>
      <c r="P28" s="364">
        <f t="shared" si="5"/>
        <v>0</v>
      </c>
      <c r="R28" s="109"/>
    </row>
    <row r="29" spans="1:18" s="114" customFormat="1" ht="15.75">
      <c r="A29" s="110" t="s">
        <v>165</v>
      </c>
      <c r="B29" s="111" t="s">
        <v>92</v>
      </c>
      <c r="C29" s="79">
        <f t="shared" si="0"/>
        <v>7</v>
      </c>
      <c r="D29" s="113">
        <v>7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0</v>
      </c>
      <c r="M29" s="113">
        <v>0</v>
      </c>
      <c r="N29" s="114">
        <v>2417.4</v>
      </c>
      <c r="O29" s="364">
        <f t="shared" si="4"/>
        <v>16.921799999999998</v>
      </c>
      <c r="P29" s="364">
        <f t="shared" si="5"/>
        <v>0</v>
      </c>
      <c r="R29" s="109"/>
    </row>
    <row r="30" spans="1:18" ht="26.25" customHeight="1">
      <c r="A30" s="94">
        <v>5</v>
      </c>
      <c r="B30" s="301" t="s">
        <v>445</v>
      </c>
      <c r="C30" s="99">
        <f>SUM(D30:M30)</f>
        <v>131</v>
      </c>
      <c r="D30" s="100">
        <f aca="true" t="shared" si="6" ref="D30:K30">SUM(D31:D41)</f>
        <v>0</v>
      </c>
      <c r="E30" s="100">
        <f t="shared" si="6"/>
        <v>0</v>
      </c>
      <c r="F30" s="100">
        <f t="shared" si="6"/>
        <v>0</v>
      </c>
      <c r="G30" s="100">
        <f t="shared" si="6"/>
        <v>0</v>
      </c>
      <c r="H30" s="100">
        <f t="shared" si="6"/>
        <v>0</v>
      </c>
      <c r="I30" s="100">
        <f t="shared" si="6"/>
        <v>0</v>
      </c>
      <c r="J30" s="100">
        <f t="shared" si="6"/>
        <v>0</v>
      </c>
      <c r="K30" s="100">
        <f t="shared" si="6"/>
        <v>0</v>
      </c>
      <c r="L30" s="100">
        <f>SUM(L31:L41)</f>
        <v>34</v>
      </c>
      <c r="M30" s="100">
        <f>SUM(M31:M41)</f>
        <v>97</v>
      </c>
      <c r="P30" s="109"/>
      <c r="R30" s="109"/>
    </row>
    <row r="31" spans="1:18" ht="15.75" customHeight="1">
      <c r="A31" s="81" t="s">
        <v>100</v>
      </c>
      <c r="B31" s="85" t="s">
        <v>423</v>
      </c>
      <c r="C31" s="80">
        <v>42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12</v>
      </c>
      <c r="M31" s="500">
        <f aca="true" t="shared" si="7" ref="M31:M41">C31-L31</f>
        <v>30</v>
      </c>
      <c r="R31" s="109"/>
    </row>
    <row r="32" spans="1:18" ht="15.75" customHeight="1">
      <c r="A32" s="81" t="s">
        <v>101</v>
      </c>
      <c r="B32" s="85" t="s">
        <v>424</v>
      </c>
      <c r="C32" s="80">
        <v>9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2</v>
      </c>
      <c r="M32" s="500">
        <f t="shared" si="7"/>
        <v>7</v>
      </c>
      <c r="R32" s="109"/>
    </row>
    <row r="33" spans="1:18" s="76" customFormat="1" ht="15.75" customHeight="1">
      <c r="A33" s="81" t="s">
        <v>102</v>
      </c>
      <c r="B33" s="85" t="s">
        <v>425</v>
      </c>
      <c r="C33" s="80">
        <v>13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5</v>
      </c>
      <c r="M33" s="500">
        <f t="shared" si="7"/>
        <v>8</v>
      </c>
      <c r="R33" s="109"/>
    </row>
    <row r="34" spans="1:18" s="76" customFormat="1" ht="15.75" customHeight="1">
      <c r="A34" s="81" t="s">
        <v>103</v>
      </c>
      <c r="B34" s="85" t="s">
        <v>426</v>
      </c>
      <c r="C34" s="80">
        <v>28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6</v>
      </c>
      <c r="M34" s="500">
        <f t="shared" si="7"/>
        <v>22</v>
      </c>
      <c r="R34" s="109"/>
    </row>
    <row r="35" spans="1:18" s="76" customFormat="1" ht="15.75" customHeight="1">
      <c r="A35" s="81" t="s">
        <v>104</v>
      </c>
      <c r="B35" s="85" t="s">
        <v>427</v>
      </c>
      <c r="C35" s="80">
        <v>4</v>
      </c>
      <c r="D35" s="77">
        <v>0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f>ROUND(C35/131*31,0)</f>
        <v>1</v>
      </c>
      <c r="M35" s="500">
        <f t="shared" si="7"/>
        <v>3</v>
      </c>
      <c r="R35" s="109"/>
    </row>
    <row r="36" spans="1:18" s="76" customFormat="1" ht="25.5" customHeight="1">
      <c r="A36" s="81" t="s">
        <v>105</v>
      </c>
      <c r="B36" s="84" t="s">
        <v>428</v>
      </c>
      <c r="C36" s="80">
        <v>21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5</v>
      </c>
      <c r="M36" s="500">
        <f t="shared" si="7"/>
        <v>16</v>
      </c>
      <c r="R36" s="109"/>
    </row>
    <row r="37" spans="1:18" s="76" customFormat="1" ht="25.5" customHeight="1">
      <c r="A37" s="81" t="s">
        <v>420</v>
      </c>
      <c r="B37" s="84" t="s">
        <v>429</v>
      </c>
      <c r="C37" s="80">
        <v>9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f>ROUND(C37/131*31,0)</f>
        <v>2</v>
      </c>
      <c r="M37" s="500">
        <f t="shared" si="7"/>
        <v>7</v>
      </c>
      <c r="R37" s="109"/>
    </row>
    <row r="38" spans="1:18" s="76" customFormat="1" ht="15.75" customHeight="1">
      <c r="A38" s="81" t="s">
        <v>421</v>
      </c>
      <c r="B38" s="84" t="s">
        <v>430</v>
      </c>
      <c r="C38" s="80">
        <v>4</v>
      </c>
      <c r="D38" s="77">
        <v>0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f>ROUND(C38/131*31,0)</f>
        <v>1</v>
      </c>
      <c r="M38" s="500">
        <f t="shared" si="7"/>
        <v>3</v>
      </c>
      <c r="R38" s="109"/>
    </row>
    <row r="39" spans="1:18" s="76" customFormat="1" ht="26.25" customHeight="1">
      <c r="A39" s="81" t="s">
        <v>422</v>
      </c>
      <c r="B39" s="84" t="s">
        <v>431</v>
      </c>
      <c r="C39" s="80">
        <v>1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500">
        <f t="shared" si="7"/>
        <v>1</v>
      </c>
      <c r="R39" s="109"/>
    </row>
    <row r="40" spans="1:18" s="76" customFormat="1" ht="27" customHeight="1">
      <c r="A40" s="81" t="s">
        <v>432</v>
      </c>
      <c r="B40" s="84" t="s">
        <v>434</v>
      </c>
      <c r="C40" s="80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/>
      <c r="M40" s="500">
        <f t="shared" si="7"/>
        <v>0</v>
      </c>
      <c r="R40" s="109"/>
    </row>
    <row r="41" spans="1:18" s="76" customFormat="1" ht="15.75">
      <c r="A41" s="81" t="s">
        <v>433</v>
      </c>
      <c r="B41" s="84" t="s">
        <v>92</v>
      </c>
      <c r="C41" s="80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/>
      <c r="M41" s="500">
        <f t="shared" si="7"/>
        <v>0</v>
      </c>
      <c r="R41" s="109"/>
    </row>
    <row r="42" spans="1:18" s="76" customFormat="1" ht="41.25" customHeight="1">
      <c r="A42" s="98">
        <v>6</v>
      </c>
      <c r="B42" s="301" t="s">
        <v>187</v>
      </c>
      <c r="C42" s="99">
        <f aca="true" t="shared" si="8" ref="C42:C72">SUM(D42:M42)</f>
        <v>1777</v>
      </c>
      <c r="D42" s="97">
        <v>1777</v>
      </c>
      <c r="E42" s="96">
        <v>0</v>
      </c>
      <c r="F42" s="96">
        <v>0</v>
      </c>
      <c r="G42" s="97">
        <v>0</v>
      </c>
      <c r="H42" s="96">
        <v>0</v>
      </c>
      <c r="I42" s="96">
        <v>0</v>
      </c>
      <c r="J42" s="96">
        <v>0</v>
      </c>
      <c r="K42" s="96">
        <v>0</v>
      </c>
      <c r="L42" s="96">
        <v>0</v>
      </c>
      <c r="M42" s="96">
        <v>0</v>
      </c>
      <c r="R42" s="109"/>
    </row>
    <row r="43" spans="1:18" s="76" customFormat="1" ht="29.25" customHeight="1">
      <c r="A43" s="94">
        <v>7</v>
      </c>
      <c r="B43" s="301" t="s">
        <v>195</v>
      </c>
      <c r="C43" s="99">
        <f t="shared" si="8"/>
        <v>37056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0">
        <v>37056</v>
      </c>
      <c r="K43" s="100">
        <v>0</v>
      </c>
      <c r="L43" s="100">
        <v>0</v>
      </c>
      <c r="M43" s="100">
        <v>0</v>
      </c>
      <c r="N43" s="510">
        <v>1412.99</v>
      </c>
      <c r="O43" s="511">
        <f>N43*J43/1000</f>
        <v>52359.75744</v>
      </c>
      <c r="R43" s="109"/>
    </row>
    <row r="44" spans="1:18" s="76" customFormat="1" ht="21.75" customHeight="1">
      <c r="A44" s="94">
        <v>8</v>
      </c>
      <c r="B44" s="301" t="s">
        <v>199</v>
      </c>
      <c r="C44" s="99">
        <f t="shared" si="8"/>
        <v>4369</v>
      </c>
      <c r="D44" s="100">
        <f aca="true" t="shared" si="9" ref="D44:I44">SUM(D45:D63)</f>
        <v>0</v>
      </c>
      <c r="E44" s="100">
        <f t="shared" si="9"/>
        <v>0</v>
      </c>
      <c r="F44" s="100">
        <f t="shared" si="9"/>
        <v>0</v>
      </c>
      <c r="G44" s="100">
        <f t="shared" si="9"/>
        <v>0</v>
      </c>
      <c r="H44" s="100">
        <f t="shared" si="9"/>
        <v>0</v>
      </c>
      <c r="I44" s="100">
        <f t="shared" si="9"/>
        <v>288</v>
      </c>
      <c r="J44" s="100">
        <f>SUM(J45:J63)</f>
        <v>4081</v>
      </c>
      <c r="K44" s="100">
        <f>SUM(K45:K63)</f>
        <v>0</v>
      </c>
      <c r="L44" s="100">
        <f>SUM(L45:L63)</f>
        <v>0</v>
      </c>
      <c r="M44" s="100">
        <f>SUM(M45:M63)</f>
        <v>0</v>
      </c>
      <c r="O44" s="364">
        <f>SUM(O45:O52)</f>
        <v>474.18</v>
      </c>
      <c r="R44" s="109"/>
    </row>
    <row r="45" spans="1:18" ht="40.5" customHeight="1">
      <c r="A45" s="81" t="s">
        <v>123</v>
      </c>
      <c r="B45" s="85" t="s">
        <v>115</v>
      </c>
      <c r="C45" s="80">
        <f t="shared" si="8"/>
        <v>200</v>
      </c>
      <c r="D45" s="77">
        <v>0</v>
      </c>
      <c r="E45" s="77">
        <v>0</v>
      </c>
      <c r="F45" s="77">
        <v>0</v>
      </c>
      <c r="G45" s="373">
        <v>0</v>
      </c>
      <c r="H45" s="77">
        <v>0</v>
      </c>
      <c r="I45" s="77">
        <v>200</v>
      </c>
      <c r="J45" s="77">
        <v>0</v>
      </c>
      <c r="K45" s="77"/>
      <c r="L45" s="77"/>
      <c r="M45" s="77">
        <v>0</v>
      </c>
      <c r="N45" s="72">
        <v>1500</v>
      </c>
      <c r="O45" s="445">
        <f>N45*I45/1000</f>
        <v>300</v>
      </c>
      <c r="R45" s="109"/>
    </row>
    <row r="46" spans="1:18" ht="18" customHeight="1">
      <c r="A46" s="81" t="s">
        <v>124</v>
      </c>
      <c r="B46" s="85" t="s">
        <v>116</v>
      </c>
      <c r="C46" s="80">
        <f t="shared" si="8"/>
        <v>40</v>
      </c>
      <c r="D46" s="77">
        <v>0</v>
      </c>
      <c r="E46" s="77">
        <v>0</v>
      </c>
      <c r="F46" s="77">
        <v>0</v>
      </c>
      <c r="G46" s="373">
        <v>0</v>
      </c>
      <c r="H46" s="77">
        <v>0</v>
      </c>
      <c r="I46" s="77">
        <v>40</v>
      </c>
      <c r="J46" s="77">
        <v>0</v>
      </c>
      <c r="K46" s="77"/>
      <c r="L46" s="77"/>
      <c r="M46" s="77">
        <v>0</v>
      </c>
      <c r="N46" s="72">
        <v>1825</v>
      </c>
      <c r="O46" s="445">
        <f aca="true" t="shared" si="10" ref="O46:O52">N46*I46/1000</f>
        <v>73</v>
      </c>
      <c r="R46" s="109"/>
    </row>
    <row r="47" spans="1:18" ht="18" customHeight="1">
      <c r="A47" s="81" t="s">
        <v>167</v>
      </c>
      <c r="B47" s="85" t="s">
        <v>117</v>
      </c>
      <c r="C47" s="80">
        <f t="shared" si="8"/>
        <v>1</v>
      </c>
      <c r="D47" s="77">
        <v>0</v>
      </c>
      <c r="E47" s="77">
        <v>0</v>
      </c>
      <c r="F47" s="77">
        <v>0</v>
      </c>
      <c r="G47" s="373">
        <v>0</v>
      </c>
      <c r="H47" s="77">
        <v>0</v>
      </c>
      <c r="I47" s="77">
        <v>1</v>
      </c>
      <c r="J47" s="77">
        <v>0</v>
      </c>
      <c r="K47" s="77"/>
      <c r="L47" s="77"/>
      <c r="M47" s="77">
        <v>0</v>
      </c>
      <c r="N47" s="72">
        <v>1685</v>
      </c>
      <c r="O47" s="445">
        <f t="shared" si="10"/>
        <v>1.685</v>
      </c>
      <c r="R47" s="109"/>
    </row>
    <row r="48" spans="1:18" ht="18" customHeight="1">
      <c r="A48" s="81" t="s">
        <v>190</v>
      </c>
      <c r="B48" s="85" t="s">
        <v>118</v>
      </c>
      <c r="C48" s="80">
        <f t="shared" si="8"/>
        <v>1</v>
      </c>
      <c r="D48" s="77">
        <v>0</v>
      </c>
      <c r="E48" s="77">
        <v>0</v>
      </c>
      <c r="F48" s="77">
        <v>0</v>
      </c>
      <c r="G48" s="373">
        <v>0</v>
      </c>
      <c r="H48" s="77">
        <v>0</v>
      </c>
      <c r="I48" s="77">
        <v>1</v>
      </c>
      <c r="J48" s="77">
        <v>0</v>
      </c>
      <c r="K48" s="77"/>
      <c r="L48" s="77"/>
      <c r="M48" s="77">
        <v>0</v>
      </c>
      <c r="N48" s="72">
        <v>1685</v>
      </c>
      <c r="O48" s="445">
        <f t="shared" si="10"/>
        <v>1.685</v>
      </c>
      <c r="R48" s="109"/>
    </row>
    <row r="49" spans="1:18" ht="18" customHeight="1">
      <c r="A49" s="81" t="s">
        <v>191</v>
      </c>
      <c r="B49" s="85" t="s">
        <v>119</v>
      </c>
      <c r="C49" s="80">
        <f t="shared" si="8"/>
        <v>2</v>
      </c>
      <c r="D49" s="77">
        <v>0</v>
      </c>
      <c r="E49" s="77">
        <v>0</v>
      </c>
      <c r="F49" s="77">
        <v>0</v>
      </c>
      <c r="G49" s="373">
        <v>0</v>
      </c>
      <c r="H49" s="77">
        <v>0</v>
      </c>
      <c r="I49" s="77">
        <f>10-8</f>
        <v>2</v>
      </c>
      <c r="J49" s="77">
        <v>0</v>
      </c>
      <c r="K49" s="77"/>
      <c r="L49" s="77"/>
      <c r="M49" s="77">
        <v>0</v>
      </c>
      <c r="N49" s="72">
        <v>2955</v>
      </c>
      <c r="O49" s="445">
        <f t="shared" si="10"/>
        <v>5.91</v>
      </c>
      <c r="R49" s="109"/>
    </row>
    <row r="50" spans="1:18" ht="18" customHeight="1">
      <c r="A50" s="81" t="s">
        <v>192</v>
      </c>
      <c r="B50" s="85" t="s">
        <v>120</v>
      </c>
      <c r="C50" s="80">
        <f t="shared" si="8"/>
        <v>4</v>
      </c>
      <c r="D50" s="77">
        <v>0</v>
      </c>
      <c r="E50" s="77">
        <v>0</v>
      </c>
      <c r="F50" s="77">
        <v>0</v>
      </c>
      <c r="G50" s="78">
        <v>0</v>
      </c>
      <c r="H50" s="77">
        <v>0</v>
      </c>
      <c r="I50" s="77">
        <f>20-16</f>
        <v>4</v>
      </c>
      <c r="J50" s="77">
        <v>0</v>
      </c>
      <c r="K50" s="77"/>
      <c r="L50" s="77"/>
      <c r="M50" s="77">
        <v>0</v>
      </c>
      <c r="N50" s="72">
        <v>1525</v>
      </c>
      <c r="O50" s="445">
        <f t="shared" si="10"/>
        <v>6.1</v>
      </c>
      <c r="R50" s="109"/>
    </row>
    <row r="51" spans="1:18" ht="15.75" customHeight="1">
      <c r="A51" s="81" t="s">
        <v>193</v>
      </c>
      <c r="B51" s="85" t="s">
        <v>121</v>
      </c>
      <c r="C51" s="80">
        <f t="shared" si="8"/>
        <v>19</v>
      </c>
      <c r="D51" s="77">
        <v>0</v>
      </c>
      <c r="E51" s="77">
        <v>0</v>
      </c>
      <c r="F51" s="77">
        <v>0</v>
      </c>
      <c r="G51" s="78">
        <v>0</v>
      </c>
      <c r="H51" s="77">
        <v>0</v>
      </c>
      <c r="I51" s="77">
        <f>9+10</f>
        <v>19</v>
      </c>
      <c r="J51" s="77">
        <v>0</v>
      </c>
      <c r="K51" s="77"/>
      <c r="L51" s="77"/>
      <c r="M51" s="77">
        <v>0</v>
      </c>
      <c r="N51" s="72">
        <v>1725</v>
      </c>
      <c r="O51" s="445">
        <f t="shared" si="10"/>
        <v>32.775</v>
      </c>
      <c r="R51" s="109"/>
    </row>
    <row r="52" spans="1:18" ht="15.75" customHeight="1">
      <c r="A52" s="81" t="s">
        <v>194</v>
      </c>
      <c r="B52" s="85" t="s">
        <v>122</v>
      </c>
      <c r="C52" s="80">
        <f t="shared" si="8"/>
        <v>21</v>
      </c>
      <c r="D52" s="77">
        <v>0</v>
      </c>
      <c r="E52" s="77">
        <v>0</v>
      </c>
      <c r="F52" s="77">
        <v>0</v>
      </c>
      <c r="G52" s="78">
        <v>0</v>
      </c>
      <c r="H52" s="77">
        <v>0</v>
      </c>
      <c r="I52" s="77">
        <f>9+12</f>
        <v>21</v>
      </c>
      <c r="J52" s="77">
        <v>0</v>
      </c>
      <c r="K52" s="77"/>
      <c r="L52" s="77"/>
      <c r="M52" s="77">
        <v>0</v>
      </c>
      <c r="N52" s="72">
        <v>2525</v>
      </c>
      <c r="O52" s="445">
        <f t="shared" si="10"/>
        <v>53.025</v>
      </c>
      <c r="P52" s="445"/>
      <c r="R52" s="109"/>
    </row>
    <row r="53" spans="1:18" ht="15.75" customHeight="1">
      <c r="A53" s="81" t="s">
        <v>315</v>
      </c>
      <c r="B53" s="85" t="s">
        <v>333</v>
      </c>
      <c r="C53" s="80">
        <f t="shared" si="8"/>
        <v>940</v>
      </c>
      <c r="D53" s="77"/>
      <c r="E53" s="77"/>
      <c r="F53" s="77"/>
      <c r="G53" s="373"/>
      <c r="H53" s="77"/>
      <c r="I53" s="77"/>
      <c r="J53" s="77">
        <v>940</v>
      </c>
      <c r="K53" s="77"/>
      <c r="L53" s="77"/>
      <c r="M53" s="77"/>
      <c r="N53" s="512">
        <v>450</v>
      </c>
      <c r="O53" s="513">
        <f>J53*N53/1000</f>
        <v>423</v>
      </c>
      <c r="P53" s="445"/>
      <c r="R53" s="109"/>
    </row>
    <row r="54" spans="1:18" ht="15.75" customHeight="1">
      <c r="A54" s="81" t="s">
        <v>316</v>
      </c>
      <c r="B54" s="85" t="s">
        <v>334</v>
      </c>
      <c r="C54" s="80">
        <f t="shared" si="8"/>
        <v>600</v>
      </c>
      <c r="D54" s="77"/>
      <c r="E54" s="77"/>
      <c r="F54" s="77"/>
      <c r="G54" s="373"/>
      <c r="H54" s="77"/>
      <c r="I54" s="77"/>
      <c r="J54" s="77">
        <v>600</v>
      </c>
      <c r="K54" s="77"/>
      <c r="L54" s="77"/>
      <c r="M54" s="77"/>
      <c r="N54" s="512">
        <v>450</v>
      </c>
      <c r="O54" s="513">
        <f aca="true" t="shared" si="11" ref="O54:O63">J54*N54/1000</f>
        <v>270</v>
      </c>
      <c r="P54" s="445"/>
      <c r="R54" s="109"/>
    </row>
    <row r="55" spans="1:18" ht="15.75" customHeight="1">
      <c r="A55" s="81" t="s">
        <v>317</v>
      </c>
      <c r="B55" s="85" t="s">
        <v>335</v>
      </c>
      <c r="C55" s="80">
        <f t="shared" si="8"/>
        <v>233</v>
      </c>
      <c r="D55" s="77"/>
      <c r="E55" s="77"/>
      <c r="F55" s="77"/>
      <c r="G55" s="373"/>
      <c r="H55" s="77"/>
      <c r="I55" s="77"/>
      <c r="J55" s="77">
        <v>233</v>
      </c>
      <c r="K55" s="77"/>
      <c r="L55" s="77"/>
      <c r="M55" s="77"/>
      <c r="N55" s="512">
        <v>420</v>
      </c>
      <c r="O55" s="513">
        <f t="shared" si="11"/>
        <v>97.86</v>
      </c>
      <c r="P55" s="445"/>
      <c r="R55" s="109"/>
    </row>
    <row r="56" spans="1:18" ht="29.25" customHeight="1">
      <c r="A56" s="81" t="s">
        <v>318</v>
      </c>
      <c r="B56" s="85" t="s">
        <v>336</v>
      </c>
      <c r="C56" s="80">
        <f t="shared" si="8"/>
        <v>345</v>
      </c>
      <c r="D56" s="77"/>
      <c r="E56" s="77"/>
      <c r="F56" s="77"/>
      <c r="G56" s="373"/>
      <c r="H56" s="77"/>
      <c r="I56" s="77"/>
      <c r="J56" s="77">
        <v>345</v>
      </c>
      <c r="K56" s="77"/>
      <c r="L56" s="77"/>
      <c r="M56" s="77"/>
      <c r="N56" s="512">
        <v>540</v>
      </c>
      <c r="O56" s="513">
        <f t="shared" si="11"/>
        <v>186.3</v>
      </c>
      <c r="P56" s="445"/>
      <c r="R56" s="109"/>
    </row>
    <row r="57" spans="1:18" ht="29.25" customHeight="1">
      <c r="A57" s="81" t="s">
        <v>319</v>
      </c>
      <c r="B57" s="85" t="s">
        <v>337</v>
      </c>
      <c r="C57" s="80">
        <f t="shared" si="8"/>
        <v>890</v>
      </c>
      <c r="D57" s="77"/>
      <c r="E57" s="77"/>
      <c r="F57" s="77"/>
      <c r="G57" s="373"/>
      <c r="H57" s="77"/>
      <c r="I57" s="77"/>
      <c r="J57" s="77">
        <v>890</v>
      </c>
      <c r="K57" s="77"/>
      <c r="L57" s="77"/>
      <c r="M57" s="77"/>
      <c r="N57" s="512">
        <v>967.8</v>
      </c>
      <c r="O57" s="513">
        <f t="shared" si="11"/>
        <v>861.342</v>
      </c>
      <c r="P57" s="445"/>
      <c r="R57" s="109"/>
    </row>
    <row r="58" spans="1:18" ht="18" customHeight="1">
      <c r="A58" s="81" t="s">
        <v>320</v>
      </c>
      <c r="B58" s="85" t="s">
        <v>338</v>
      </c>
      <c r="C58" s="80">
        <f t="shared" si="8"/>
        <v>890</v>
      </c>
      <c r="D58" s="77"/>
      <c r="E58" s="77"/>
      <c r="F58" s="77"/>
      <c r="G58" s="373"/>
      <c r="H58" s="77"/>
      <c r="I58" s="77"/>
      <c r="J58" s="77">
        <v>890</v>
      </c>
      <c r="K58" s="77"/>
      <c r="L58" s="77"/>
      <c r="M58" s="77"/>
      <c r="N58" s="512">
        <v>580</v>
      </c>
      <c r="O58" s="513">
        <f t="shared" si="11"/>
        <v>516.2</v>
      </c>
      <c r="P58" s="445"/>
      <c r="R58" s="109"/>
    </row>
    <row r="59" spans="1:18" ht="18" customHeight="1">
      <c r="A59" s="81" t="s">
        <v>321</v>
      </c>
      <c r="B59" s="85" t="s">
        <v>346</v>
      </c>
      <c r="C59" s="80">
        <f t="shared" si="8"/>
        <v>37</v>
      </c>
      <c r="D59" s="77"/>
      <c r="E59" s="77"/>
      <c r="F59" s="77"/>
      <c r="G59" s="373"/>
      <c r="H59" s="77"/>
      <c r="I59" s="77"/>
      <c r="J59" s="77">
        <v>37</v>
      </c>
      <c r="K59" s="77"/>
      <c r="L59" s="77"/>
      <c r="M59" s="77"/>
      <c r="N59" s="512">
        <v>359.1</v>
      </c>
      <c r="O59" s="513">
        <f t="shared" si="11"/>
        <v>13.286700000000002</v>
      </c>
      <c r="P59" s="445"/>
      <c r="R59" s="109"/>
    </row>
    <row r="60" spans="1:18" ht="18" customHeight="1">
      <c r="A60" s="81" t="s">
        <v>322</v>
      </c>
      <c r="B60" s="85" t="s">
        <v>339</v>
      </c>
      <c r="C60" s="80">
        <f t="shared" si="8"/>
        <v>37</v>
      </c>
      <c r="D60" s="77"/>
      <c r="E60" s="77"/>
      <c r="F60" s="77"/>
      <c r="G60" s="373"/>
      <c r="H60" s="77"/>
      <c r="I60" s="77"/>
      <c r="J60" s="77">
        <v>37</v>
      </c>
      <c r="K60" s="77"/>
      <c r="L60" s="77"/>
      <c r="M60" s="77"/>
      <c r="N60" s="512">
        <v>360.1</v>
      </c>
      <c r="O60" s="513">
        <f t="shared" si="11"/>
        <v>13.3237</v>
      </c>
      <c r="P60" s="445"/>
      <c r="R60" s="109"/>
    </row>
    <row r="61" spans="1:18" ht="28.5" customHeight="1">
      <c r="A61" s="81" t="s">
        <v>323</v>
      </c>
      <c r="B61" s="85" t="s">
        <v>340</v>
      </c>
      <c r="C61" s="80">
        <f t="shared" si="8"/>
        <v>49</v>
      </c>
      <c r="D61" s="77"/>
      <c r="E61" s="77"/>
      <c r="F61" s="77"/>
      <c r="G61" s="373"/>
      <c r="H61" s="77"/>
      <c r="I61" s="77"/>
      <c r="J61" s="77">
        <v>49</v>
      </c>
      <c r="K61" s="77"/>
      <c r="L61" s="77"/>
      <c r="M61" s="77"/>
      <c r="N61" s="512">
        <v>361.9</v>
      </c>
      <c r="O61" s="513">
        <f t="shared" si="11"/>
        <v>17.7331</v>
      </c>
      <c r="P61" s="445"/>
      <c r="R61" s="109"/>
    </row>
    <row r="62" spans="1:18" ht="24.75" customHeight="1">
      <c r="A62" s="81" t="s">
        <v>324</v>
      </c>
      <c r="B62" s="85" t="s">
        <v>341</v>
      </c>
      <c r="C62" s="80">
        <f t="shared" si="8"/>
        <v>49</v>
      </c>
      <c r="D62" s="77"/>
      <c r="E62" s="77"/>
      <c r="F62" s="77"/>
      <c r="G62" s="373"/>
      <c r="H62" s="77"/>
      <c r="I62" s="77"/>
      <c r="J62" s="77">
        <v>49</v>
      </c>
      <c r="K62" s="77"/>
      <c r="L62" s="77"/>
      <c r="M62" s="77"/>
      <c r="N62" s="512">
        <v>361.9</v>
      </c>
      <c r="O62" s="513">
        <f t="shared" si="11"/>
        <v>17.7331</v>
      </c>
      <c r="P62" s="445"/>
      <c r="R62" s="109"/>
    </row>
    <row r="63" spans="1:18" ht="16.5" customHeight="1">
      <c r="A63" s="81" t="s">
        <v>325</v>
      </c>
      <c r="B63" s="85" t="s">
        <v>342</v>
      </c>
      <c r="C63" s="80">
        <f t="shared" si="8"/>
        <v>11</v>
      </c>
      <c r="D63" s="77"/>
      <c r="E63" s="77"/>
      <c r="F63" s="77"/>
      <c r="G63" s="373"/>
      <c r="H63" s="77"/>
      <c r="I63" s="77"/>
      <c r="J63" s="77">
        <v>11</v>
      </c>
      <c r="K63" s="77"/>
      <c r="L63" s="77"/>
      <c r="M63" s="77"/>
      <c r="N63" s="512">
        <v>300</v>
      </c>
      <c r="O63" s="513">
        <f t="shared" si="11"/>
        <v>3.3</v>
      </c>
      <c r="P63" s="445"/>
      <c r="R63" s="109"/>
    </row>
    <row r="64" spans="1:18" ht="27.75" customHeight="1">
      <c r="A64" s="81" t="s">
        <v>326</v>
      </c>
      <c r="B64" s="85" t="s">
        <v>343</v>
      </c>
      <c r="C64" s="80">
        <f t="shared" si="8"/>
        <v>0</v>
      </c>
      <c r="D64" s="77"/>
      <c r="E64" s="77"/>
      <c r="F64" s="77"/>
      <c r="G64" s="373"/>
      <c r="H64" s="77"/>
      <c r="I64" s="77"/>
      <c r="J64" s="446" t="s">
        <v>446</v>
      </c>
      <c r="K64" s="446"/>
      <c r="L64" s="446"/>
      <c r="M64" s="77"/>
      <c r="N64" s="512">
        <v>1600</v>
      </c>
      <c r="O64" s="513"/>
      <c r="R64" s="109"/>
    </row>
    <row r="65" spans="1:18" ht="24" customHeight="1">
      <c r="A65" s="81" t="s">
        <v>327</v>
      </c>
      <c r="B65" s="85" t="s">
        <v>344</v>
      </c>
      <c r="C65" s="80">
        <f t="shared" si="8"/>
        <v>0</v>
      </c>
      <c r="D65" s="77"/>
      <c r="E65" s="77"/>
      <c r="F65" s="77"/>
      <c r="G65" s="373"/>
      <c r="H65" s="77"/>
      <c r="I65" s="77"/>
      <c r="J65" s="446" t="s">
        <v>446</v>
      </c>
      <c r="K65" s="446"/>
      <c r="L65" s="446"/>
      <c r="M65" s="77"/>
      <c r="N65" s="512">
        <v>520</v>
      </c>
      <c r="O65" s="513"/>
      <c r="R65" s="109"/>
    </row>
    <row r="66" spans="1:18" ht="21" customHeight="1">
      <c r="A66" s="81" t="s">
        <v>328</v>
      </c>
      <c r="B66" s="85" t="s">
        <v>345</v>
      </c>
      <c r="C66" s="80">
        <f t="shared" si="8"/>
        <v>0</v>
      </c>
      <c r="D66" s="77"/>
      <c r="E66" s="77"/>
      <c r="F66" s="77"/>
      <c r="G66" s="373"/>
      <c r="H66" s="77"/>
      <c r="I66" s="77"/>
      <c r="J66" s="446" t="s">
        <v>446</v>
      </c>
      <c r="K66" s="446"/>
      <c r="L66" s="446"/>
      <c r="M66" s="77"/>
      <c r="N66" s="512">
        <v>1050</v>
      </c>
      <c r="O66" s="513"/>
      <c r="R66" s="109"/>
    </row>
    <row r="67" spans="1:18" ht="19.5" customHeight="1">
      <c r="A67" s="94">
        <v>9</v>
      </c>
      <c r="B67" s="301" t="s">
        <v>443</v>
      </c>
      <c r="C67" s="100">
        <f t="shared" si="8"/>
        <v>3220</v>
      </c>
      <c r="D67" s="100">
        <f>D68+D69</f>
        <v>3220</v>
      </c>
      <c r="E67" s="100">
        <f>E68+E69</f>
        <v>0</v>
      </c>
      <c r="F67" s="100">
        <f>F68+F69</f>
        <v>0</v>
      </c>
      <c r="G67" s="100">
        <f>G68+G69</f>
        <v>0</v>
      </c>
      <c r="H67" s="100">
        <f aca="true" t="shared" si="12" ref="H67:M67">H68+H69</f>
        <v>0</v>
      </c>
      <c r="I67" s="100">
        <f t="shared" si="12"/>
        <v>0</v>
      </c>
      <c r="J67" s="100">
        <f t="shared" si="12"/>
        <v>0</v>
      </c>
      <c r="K67" s="100">
        <f t="shared" si="12"/>
        <v>0</v>
      </c>
      <c r="L67" s="100"/>
      <c r="M67" s="100">
        <f t="shared" si="12"/>
        <v>0</v>
      </c>
      <c r="R67" s="109"/>
    </row>
    <row r="68" spans="1:18" ht="17.25" customHeight="1">
      <c r="A68" s="81" t="s">
        <v>188</v>
      </c>
      <c r="B68" s="516" t="s">
        <v>125</v>
      </c>
      <c r="C68" s="517">
        <f t="shared" si="8"/>
        <v>730</v>
      </c>
      <c r="D68" s="499">
        <v>730</v>
      </c>
      <c r="E68" s="77">
        <v>0</v>
      </c>
      <c r="F68" s="77">
        <v>0</v>
      </c>
      <c r="G68" s="373">
        <v>0</v>
      </c>
      <c r="H68" s="77">
        <v>0</v>
      </c>
      <c r="I68" s="77">
        <v>0</v>
      </c>
      <c r="J68" s="77">
        <v>0</v>
      </c>
      <c r="K68" s="77"/>
      <c r="L68" s="77"/>
      <c r="M68" s="77">
        <v>0</v>
      </c>
      <c r="N68" s="72">
        <v>1114.5</v>
      </c>
      <c r="O68" s="445">
        <f>N68*C68/1000</f>
        <v>813.585</v>
      </c>
      <c r="R68" s="109"/>
    </row>
    <row r="69" spans="1:18" ht="17.25" customHeight="1">
      <c r="A69" s="81" t="s">
        <v>189</v>
      </c>
      <c r="B69" s="516" t="s">
        <v>126</v>
      </c>
      <c r="C69" s="517">
        <f t="shared" si="8"/>
        <v>2490</v>
      </c>
      <c r="D69" s="499">
        <v>2490</v>
      </c>
      <c r="E69" s="77">
        <v>0</v>
      </c>
      <c r="F69" s="77">
        <v>0</v>
      </c>
      <c r="G69" s="373">
        <v>0</v>
      </c>
      <c r="H69" s="77">
        <v>0</v>
      </c>
      <c r="I69" s="77">
        <v>0</v>
      </c>
      <c r="J69" s="77">
        <v>0</v>
      </c>
      <c r="K69" s="77"/>
      <c r="L69" s="77"/>
      <c r="M69" s="77">
        <v>0</v>
      </c>
      <c r="N69" s="72">
        <v>1942.9</v>
      </c>
      <c r="O69" s="445">
        <f>N69*C69/1000</f>
        <v>4837.821</v>
      </c>
      <c r="R69" s="109"/>
    </row>
    <row r="70" spans="1:13" ht="15.75">
      <c r="A70" s="104">
        <v>10</v>
      </c>
      <c r="B70" s="301" t="s">
        <v>444</v>
      </c>
      <c r="C70" s="95">
        <f t="shared" si="8"/>
        <v>1400</v>
      </c>
      <c r="D70" s="95">
        <f aca="true" t="shared" si="13" ref="D70:M70">D71+D72</f>
        <v>0</v>
      </c>
      <c r="E70" s="95">
        <f t="shared" si="13"/>
        <v>0</v>
      </c>
      <c r="F70" s="95">
        <f t="shared" si="13"/>
        <v>0</v>
      </c>
      <c r="G70" s="95">
        <f t="shared" si="13"/>
        <v>1200</v>
      </c>
      <c r="H70" s="95">
        <f t="shared" si="13"/>
        <v>0</v>
      </c>
      <c r="I70" s="95">
        <f t="shared" si="13"/>
        <v>0</v>
      </c>
      <c r="J70" s="95">
        <f t="shared" si="13"/>
        <v>0</v>
      </c>
      <c r="K70" s="95">
        <f t="shared" si="13"/>
        <v>200</v>
      </c>
      <c r="L70" s="95"/>
      <c r="M70" s="95">
        <f t="shared" si="13"/>
        <v>0</v>
      </c>
    </row>
    <row r="71" spans="1:15" ht="15.75">
      <c r="A71" s="81" t="s">
        <v>347</v>
      </c>
      <c r="B71" s="85" t="s">
        <v>349</v>
      </c>
      <c r="C71" s="80">
        <f t="shared" si="8"/>
        <v>1200</v>
      </c>
      <c r="D71" s="82">
        <v>0</v>
      </c>
      <c r="E71" s="82">
        <v>0</v>
      </c>
      <c r="F71" s="82">
        <v>0</v>
      </c>
      <c r="G71" s="82">
        <v>1200</v>
      </c>
      <c r="H71" s="82">
        <v>0</v>
      </c>
      <c r="I71" s="82">
        <v>0</v>
      </c>
      <c r="J71" s="82">
        <v>0</v>
      </c>
      <c r="K71" s="82"/>
      <c r="L71" s="82"/>
      <c r="M71" s="82">
        <v>0</v>
      </c>
      <c r="N71" s="72">
        <v>2369.9</v>
      </c>
      <c r="O71" s="72">
        <f>N71*G71/1000</f>
        <v>2843.88</v>
      </c>
    </row>
    <row r="72" spans="1:15" ht="20.25" customHeight="1">
      <c r="A72" s="81" t="s">
        <v>348</v>
      </c>
      <c r="B72" s="85" t="s">
        <v>329</v>
      </c>
      <c r="C72" s="80">
        <f t="shared" si="8"/>
        <v>200</v>
      </c>
      <c r="D72" s="77"/>
      <c r="E72" s="77">
        <v>0</v>
      </c>
      <c r="F72" s="77">
        <v>0</v>
      </c>
      <c r="G72" s="373">
        <v>0</v>
      </c>
      <c r="H72" s="77">
        <v>0</v>
      </c>
      <c r="I72" s="77">
        <v>0</v>
      </c>
      <c r="J72" s="77">
        <v>0</v>
      </c>
      <c r="K72" s="77">
        <v>200</v>
      </c>
      <c r="L72" s="77"/>
      <c r="M72" s="77">
        <v>0</v>
      </c>
      <c r="N72" s="72">
        <v>1843.6</v>
      </c>
      <c r="O72" s="72">
        <f>N72*K72/1000</f>
        <v>368.72</v>
      </c>
    </row>
    <row r="73" ht="15">
      <c r="C73" s="349"/>
    </row>
  </sheetData>
  <sheetProtection/>
  <mergeCells count="3">
    <mergeCell ref="A4:M4"/>
    <mergeCell ref="A3:M3"/>
    <mergeCell ref="J1:M1"/>
  </mergeCells>
  <printOptions/>
  <pageMargins left="0.1968503937007874" right="0.1968503937007874" top="0.7874015748031497" bottom="0.3937007874015748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O236"/>
  <sheetViews>
    <sheetView view="pageBreakPreview" zoomScale="80" zoomScaleSheetLayoutView="80" zoomScalePageLayoutView="0" workbookViewId="0" topLeftCell="A1">
      <pane xSplit="3" ySplit="7" topLeftCell="D3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39" sqref="D39"/>
    </sheetView>
  </sheetViews>
  <sheetFormatPr defaultColWidth="9.140625" defaultRowHeight="12.75"/>
  <cols>
    <col min="1" max="2" width="9.421875" style="126" customWidth="1"/>
    <col min="3" max="3" width="89.7109375" style="126" customWidth="1"/>
    <col min="4" max="4" width="18.8515625" style="126" customWidth="1"/>
    <col min="5" max="6" width="9.140625" style="126" customWidth="1"/>
    <col min="7" max="7" width="11.7109375" style="126" customWidth="1"/>
    <col min="8" max="16384" width="9.140625" style="126" customWidth="1"/>
  </cols>
  <sheetData>
    <row r="1" ht="15.75">
      <c r="D1" s="409" t="s">
        <v>296</v>
      </c>
    </row>
    <row r="3" spans="1:4" s="124" customFormat="1" ht="13.5" customHeight="1">
      <c r="A3" s="457"/>
      <c r="B3" s="125"/>
      <c r="C3" s="125"/>
      <c r="D3" s="125"/>
    </row>
    <row r="4" spans="2:4" s="124" customFormat="1" ht="31.5" customHeight="1">
      <c r="B4" s="680" t="s">
        <v>298</v>
      </c>
      <c r="C4" s="680"/>
      <c r="D4" s="680"/>
    </row>
    <row r="5" ht="15.75" thickBot="1"/>
    <row r="6" spans="1:4" ht="48.75" customHeight="1" thickBot="1" thickTop="1">
      <c r="A6" s="122" t="s">
        <v>353</v>
      </c>
      <c r="B6" s="122" t="s">
        <v>170</v>
      </c>
      <c r="C6" s="123" t="s">
        <v>85</v>
      </c>
      <c r="D6" s="119" t="s">
        <v>171</v>
      </c>
    </row>
    <row r="7" spans="1:4" ht="21.75" customHeight="1" thickBot="1" thickTop="1">
      <c r="A7" s="682" t="s">
        <v>250</v>
      </c>
      <c r="B7" s="682"/>
      <c r="C7" s="682"/>
      <c r="D7" s="682"/>
    </row>
    <row r="8" spans="1:4" ht="15.75" customHeight="1" thickTop="1">
      <c r="A8" s="13">
        <v>6</v>
      </c>
      <c r="B8" s="13"/>
      <c r="C8" s="14" t="s">
        <v>229</v>
      </c>
      <c r="D8" s="344">
        <v>380</v>
      </c>
    </row>
    <row r="9" spans="1:4" ht="15.75" customHeight="1">
      <c r="A9" s="13">
        <v>5</v>
      </c>
      <c r="B9" s="13"/>
      <c r="C9" s="14" t="s">
        <v>228</v>
      </c>
      <c r="D9" s="344">
        <v>114</v>
      </c>
    </row>
    <row r="10" spans="1:4" ht="15.75" customHeight="1">
      <c r="A10" s="13">
        <v>4</v>
      </c>
      <c r="B10" s="13"/>
      <c r="C10" s="14" t="s">
        <v>227</v>
      </c>
      <c r="D10" s="344">
        <v>72</v>
      </c>
    </row>
    <row r="11" spans="1:4" ht="15.75">
      <c r="A11" s="13">
        <v>14</v>
      </c>
      <c r="B11" s="13"/>
      <c r="C11" s="14" t="s">
        <v>15</v>
      </c>
      <c r="D11" s="344">
        <v>369</v>
      </c>
    </row>
    <row r="12" spans="1:15" ht="15.75">
      <c r="A12" s="13">
        <v>15</v>
      </c>
      <c r="B12" s="13"/>
      <c r="C12" s="14" t="s">
        <v>16</v>
      </c>
      <c r="D12" s="344">
        <v>186</v>
      </c>
      <c r="O12" s="126" t="s">
        <v>59</v>
      </c>
    </row>
    <row r="13" spans="1:4" ht="15.75">
      <c r="A13" s="13">
        <v>16</v>
      </c>
      <c r="B13" s="13"/>
      <c r="C13" s="14" t="s">
        <v>84</v>
      </c>
      <c r="D13" s="344">
        <v>39</v>
      </c>
    </row>
    <row r="14" spans="1:4" ht="15.75">
      <c r="A14" s="13">
        <v>17</v>
      </c>
      <c r="B14" s="13"/>
      <c r="C14" s="14" t="s">
        <v>50</v>
      </c>
      <c r="D14" s="344">
        <v>262</v>
      </c>
    </row>
    <row r="15" spans="1:4" ht="15.75">
      <c r="A15" s="13">
        <v>17</v>
      </c>
      <c r="B15" s="13"/>
      <c r="C15" s="14" t="s">
        <v>53</v>
      </c>
      <c r="D15" s="344">
        <v>44</v>
      </c>
    </row>
    <row r="16" spans="1:5" ht="15.75">
      <c r="A16" s="15">
        <v>24</v>
      </c>
      <c r="B16" s="15"/>
      <c r="C16" s="16" t="s">
        <v>23</v>
      </c>
      <c r="D16" s="346">
        <v>1092</v>
      </c>
      <c r="E16" s="129"/>
    </row>
    <row r="17" spans="1:5" ht="15.75">
      <c r="A17" s="15">
        <v>24</v>
      </c>
      <c r="B17" s="15"/>
      <c r="C17" s="16" t="s">
        <v>25</v>
      </c>
      <c r="D17" s="346">
        <v>315</v>
      </c>
      <c r="E17" s="129"/>
    </row>
    <row r="18" spans="1:4" ht="15.75">
      <c r="A18" s="15">
        <v>26</v>
      </c>
      <c r="B18" s="15"/>
      <c r="C18" s="16" t="s">
        <v>17</v>
      </c>
      <c r="D18" s="346">
        <f>642+270</f>
        <v>912</v>
      </c>
    </row>
    <row r="19" spans="1:4" ht="15.75">
      <c r="A19" s="15">
        <v>26</v>
      </c>
      <c r="B19" s="69"/>
      <c r="C19" s="428" t="s">
        <v>309</v>
      </c>
      <c r="D19" s="346"/>
    </row>
    <row r="20" spans="1:4" ht="60">
      <c r="A20" s="59">
        <f>A18</f>
        <v>26</v>
      </c>
      <c r="B20" s="59">
        <v>37</v>
      </c>
      <c r="C20" s="161" t="s">
        <v>358</v>
      </c>
      <c r="D20" s="464">
        <v>55</v>
      </c>
    </row>
    <row r="21" spans="1:4" s="162" customFormat="1" ht="64.5" customHeight="1">
      <c r="A21" s="59">
        <f>A18</f>
        <v>26</v>
      </c>
      <c r="B21" s="59">
        <v>38</v>
      </c>
      <c r="C21" s="161" t="s">
        <v>367</v>
      </c>
      <c r="D21" s="464">
        <v>40</v>
      </c>
    </row>
    <row r="22" spans="1:4" s="162" customFormat="1" ht="58.5" customHeight="1">
      <c r="A22" s="59">
        <f>A18</f>
        <v>26</v>
      </c>
      <c r="B22" s="59">
        <v>39</v>
      </c>
      <c r="C22" s="161" t="s">
        <v>366</v>
      </c>
      <c r="D22" s="464">
        <v>20</v>
      </c>
    </row>
    <row r="23" spans="1:4" s="162" customFormat="1" ht="62.25" customHeight="1">
      <c r="A23" s="59">
        <f>A18</f>
        <v>26</v>
      </c>
      <c r="B23" s="59">
        <v>40</v>
      </c>
      <c r="C23" s="161" t="s">
        <v>365</v>
      </c>
      <c r="D23" s="464">
        <v>20</v>
      </c>
    </row>
    <row r="24" spans="1:4" s="162" customFormat="1" ht="65.25" customHeight="1">
      <c r="A24" s="59">
        <f>A18</f>
        <v>26</v>
      </c>
      <c r="B24" s="59">
        <v>41</v>
      </c>
      <c r="C24" s="161" t="s">
        <v>364</v>
      </c>
      <c r="D24" s="464">
        <v>15</v>
      </c>
    </row>
    <row r="25" spans="1:4" s="162" customFormat="1" ht="61.5" customHeight="1">
      <c r="A25" s="59">
        <f>A24</f>
        <v>26</v>
      </c>
      <c r="B25" s="59">
        <v>42</v>
      </c>
      <c r="C25" s="161" t="s">
        <v>363</v>
      </c>
      <c r="D25" s="464">
        <v>5</v>
      </c>
    </row>
    <row r="26" spans="1:4" s="162" customFormat="1" ht="47.25" customHeight="1">
      <c r="A26" s="59">
        <f>A24</f>
        <v>26</v>
      </c>
      <c r="B26" s="59">
        <v>43</v>
      </c>
      <c r="C26" s="161" t="s">
        <v>362</v>
      </c>
      <c r="D26" s="464">
        <v>35</v>
      </c>
    </row>
    <row r="27" spans="1:4" s="162" customFormat="1" ht="48" customHeight="1">
      <c r="A27" s="59">
        <f>A26</f>
        <v>26</v>
      </c>
      <c r="B27" s="59">
        <v>44</v>
      </c>
      <c r="C27" s="161" t="s">
        <v>361</v>
      </c>
      <c r="D27" s="464">
        <v>25</v>
      </c>
    </row>
    <row r="28" spans="1:4" s="162" customFormat="1" ht="44.25" customHeight="1">
      <c r="A28" s="59">
        <f>A26</f>
        <v>26</v>
      </c>
      <c r="B28" s="59">
        <v>45</v>
      </c>
      <c r="C28" s="161" t="s">
        <v>360</v>
      </c>
      <c r="D28" s="464">
        <v>15</v>
      </c>
    </row>
    <row r="29" spans="1:4" s="162" customFormat="1" ht="46.5" customHeight="1">
      <c r="A29" s="59">
        <v>26</v>
      </c>
      <c r="B29" s="59">
        <v>49</v>
      </c>
      <c r="C29" s="161" t="s">
        <v>359</v>
      </c>
      <c r="D29" s="464">
        <v>7</v>
      </c>
    </row>
    <row r="30" spans="1:4" s="162" customFormat="1" ht="31.5" customHeight="1">
      <c r="A30" s="59">
        <f>A28</f>
        <v>26</v>
      </c>
      <c r="B30" s="59">
        <v>51</v>
      </c>
      <c r="C30" s="161" t="s">
        <v>448</v>
      </c>
      <c r="D30" s="464">
        <v>33</v>
      </c>
    </row>
    <row r="31" spans="1:4" ht="15.75">
      <c r="A31" s="13">
        <v>30</v>
      </c>
      <c r="B31" s="13"/>
      <c r="C31" s="14" t="s">
        <v>372</v>
      </c>
      <c r="D31" s="344">
        <v>142</v>
      </c>
    </row>
    <row r="32" spans="1:4" ht="31.5">
      <c r="A32" s="13">
        <v>32</v>
      </c>
      <c r="B32" s="13"/>
      <c r="C32" s="14" t="s">
        <v>373</v>
      </c>
      <c r="D32" s="344">
        <v>237</v>
      </c>
    </row>
    <row r="33" spans="1:4" ht="15.75">
      <c r="A33" s="13">
        <v>31</v>
      </c>
      <c r="B33" s="13"/>
      <c r="C33" s="14" t="s">
        <v>374</v>
      </c>
      <c r="D33" s="344">
        <v>142</v>
      </c>
    </row>
    <row r="34" spans="1:5" ht="15.75">
      <c r="A34" s="13">
        <v>34</v>
      </c>
      <c r="B34" s="13"/>
      <c r="C34" s="14" t="s">
        <v>26</v>
      </c>
      <c r="D34" s="344">
        <f>373+373</f>
        <v>746</v>
      </c>
      <c r="E34" s="129"/>
    </row>
    <row r="35" spans="1:5" ht="15.75">
      <c r="A35" s="13">
        <v>38</v>
      </c>
      <c r="B35" s="13"/>
      <c r="C35" s="14" t="s">
        <v>37</v>
      </c>
      <c r="D35" s="344">
        <f>302+28</f>
        <v>330</v>
      </c>
      <c r="E35" s="129"/>
    </row>
    <row r="36" spans="1:7" ht="15.75">
      <c r="A36" s="13">
        <v>41</v>
      </c>
      <c r="B36" s="13"/>
      <c r="C36" s="14" t="s">
        <v>18</v>
      </c>
      <c r="D36" s="344">
        <v>394</v>
      </c>
      <c r="G36" s="67"/>
    </row>
    <row r="37" spans="1:7" ht="15.75">
      <c r="A37" s="13">
        <v>42</v>
      </c>
      <c r="B37" s="13"/>
      <c r="C37" s="14" t="s">
        <v>81</v>
      </c>
      <c r="D37" s="344">
        <v>478</v>
      </c>
      <c r="E37" s="292"/>
      <c r="G37" s="67"/>
    </row>
    <row r="38" spans="1:7" ht="15.75">
      <c r="A38" s="13">
        <v>42</v>
      </c>
      <c r="B38" s="13"/>
      <c r="C38" s="14" t="s">
        <v>82</v>
      </c>
      <c r="D38" s="344">
        <v>422</v>
      </c>
      <c r="E38" s="292"/>
      <c r="G38" s="67"/>
    </row>
    <row r="39" spans="1:7" ht="15.75">
      <c r="A39" s="13">
        <v>64</v>
      </c>
      <c r="B39" s="13"/>
      <c r="C39" s="14" t="s">
        <v>310</v>
      </c>
      <c r="D39" s="344">
        <v>204</v>
      </c>
      <c r="G39" s="67"/>
    </row>
    <row r="40" spans="1:4" ht="15.75">
      <c r="A40" s="13">
        <v>50</v>
      </c>
      <c r="B40" s="13"/>
      <c r="C40" s="14" t="s">
        <v>354</v>
      </c>
      <c r="D40" s="344">
        <v>376</v>
      </c>
    </row>
    <row r="41" spans="1:4" ht="15.75">
      <c r="A41" s="13">
        <v>52</v>
      </c>
      <c r="B41" s="13"/>
      <c r="C41" s="14" t="s">
        <v>19</v>
      </c>
      <c r="D41" s="344">
        <v>445</v>
      </c>
    </row>
    <row r="42" spans="1:4" ht="15.75">
      <c r="A42" s="13">
        <v>55</v>
      </c>
      <c r="B42" s="13"/>
      <c r="C42" s="14" t="s">
        <v>24</v>
      </c>
      <c r="D42" s="344">
        <v>513</v>
      </c>
    </row>
    <row r="43" spans="1:4" ht="15.75">
      <c r="A43" s="13">
        <v>63</v>
      </c>
      <c r="B43" s="13"/>
      <c r="C43" s="14" t="s">
        <v>20</v>
      </c>
      <c r="D43" s="344">
        <v>512</v>
      </c>
    </row>
    <row r="44" spans="1:4" ht="15.75">
      <c r="A44" s="13">
        <v>65</v>
      </c>
      <c r="B44" s="13"/>
      <c r="C44" s="14" t="s">
        <v>52</v>
      </c>
      <c r="D44" s="344">
        <v>15</v>
      </c>
    </row>
    <row r="45" spans="1:4" ht="15.75">
      <c r="A45" s="13">
        <v>67</v>
      </c>
      <c r="B45" s="13"/>
      <c r="C45" s="14" t="s">
        <v>27</v>
      </c>
      <c r="D45" s="344">
        <v>266</v>
      </c>
    </row>
    <row r="46" spans="1:4" ht="15.75">
      <c r="A46" s="13">
        <v>71</v>
      </c>
      <c r="B46" s="13"/>
      <c r="C46" s="14" t="s">
        <v>21</v>
      </c>
      <c r="D46" s="344">
        <v>1536</v>
      </c>
    </row>
    <row r="47" spans="1:5" ht="18" customHeight="1">
      <c r="A47" s="13">
        <v>74</v>
      </c>
      <c r="B47" s="8"/>
      <c r="C47" s="17" t="s">
        <v>86</v>
      </c>
      <c r="D47" s="344">
        <f>375</f>
        <v>375</v>
      </c>
      <c r="E47" s="129"/>
    </row>
    <row r="48" spans="1:7" ht="15.75">
      <c r="A48" s="8">
        <v>74</v>
      </c>
      <c r="B48" s="429"/>
      <c r="C48" s="428" t="s">
        <v>309</v>
      </c>
      <c r="D48" s="465"/>
      <c r="F48" s="303"/>
      <c r="G48" s="303"/>
    </row>
    <row r="49" spans="1:7" s="162" customFormat="1" ht="47.25" customHeight="1">
      <c r="A49" s="683">
        <f>A47</f>
        <v>74</v>
      </c>
      <c r="B49" s="683">
        <v>56</v>
      </c>
      <c r="C49" s="161" t="s">
        <v>368</v>
      </c>
      <c r="D49" s="686">
        <v>100</v>
      </c>
      <c r="F49" s="430"/>
      <c r="G49" s="430"/>
    </row>
    <row r="50" spans="1:7" s="162" customFormat="1" ht="61.5" customHeight="1">
      <c r="A50" s="684"/>
      <c r="B50" s="684"/>
      <c r="C50" s="161" t="s">
        <v>311</v>
      </c>
      <c r="D50" s="687"/>
      <c r="F50" s="430"/>
      <c r="G50" s="430"/>
    </row>
    <row r="51" spans="1:7" s="162" customFormat="1" ht="46.5" customHeight="1">
      <c r="A51" s="685"/>
      <c r="B51" s="685"/>
      <c r="C51" s="161" t="s">
        <v>312</v>
      </c>
      <c r="D51" s="688"/>
      <c r="F51" s="430"/>
      <c r="G51" s="430"/>
    </row>
    <row r="52" spans="1:7" s="162" customFormat="1" ht="63.75" customHeight="1">
      <c r="A52" s="431">
        <v>74</v>
      </c>
      <c r="B52" s="431">
        <v>59</v>
      </c>
      <c r="C52" s="161" t="s">
        <v>313</v>
      </c>
      <c r="D52" s="466">
        <v>90</v>
      </c>
      <c r="F52" s="430"/>
      <c r="G52" s="430"/>
    </row>
    <row r="53" spans="1:7" ht="15.75">
      <c r="A53" s="13">
        <f>A47</f>
        <v>74</v>
      </c>
      <c r="B53" s="13"/>
      <c r="C53" s="14" t="s">
        <v>314</v>
      </c>
      <c r="D53" s="344">
        <f>647</f>
        <v>647</v>
      </c>
      <c r="F53" s="303"/>
      <c r="G53" s="303"/>
    </row>
    <row r="54" spans="1:7" ht="15.75">
      <c r="A54" s="13">
        <v>77</v>
      </c>
      <c r="B54" s="13"/>
      <c r="C54" s="18" t="s">
        <v>49</v>
      </c>
      <c r="D54" s="467">
        <v>586</v>
      </c>
      <c r="F54" s="303"/>
      <c r="G54" s="303"/>
    </row>
    <row r="55" spans="1:7" ht="15.75">
      <c r="A55" s="19">
        <v>80</v>
      </c>
      <c r="B55" s="19"/>
      <c r="C55" s="18" t="s">
        <v>29</v>
      </c>
      <c r="D55" s="344">
        <v>2225</v>
      </c>
      <c r="E55" s="129"/>
      <c r="F55" s="303"/>
      <c r="G55" s="303"/>
    </row>
    <row r="56" spans="1:7" ht="15.75">
      <c r="A56" s="8">
        <v>82</v>
      </c>
      <c r="B56" s="19"/>
      <c r="C56" s="18" t="s">
        <v>68</v>
      </c>
      <c r="D56" s="344">
        <v>40</v>
      </c>
      <c r="F56" s="303"/>
      <c r="G56" s="303"/>
    </row>
    <row r="57" spans="1:7" ht="15.75">
      <c r="A57" s="15">
        <v>84</v>
      </c>
      <c r="B57" s="15"/>
      <c r="C57" s="16" t="s">
        <v>39</v>
      </c>
      <c r="D57" s="346">
        <v>100</v>
      </c>
      <c r="F57" s="303"/>
      <c r="G57" s="303"/>
    </row>
    <row r="58" spans="1:7" ht="16.5" thickBot="1">
      <c r="A58" s="20">
        <v>85</v>
      </c>
      <c r="B58" s="20"/>
      <c r="C58" s="17" t="s">
        <v>22</v>
      </c>
      <c r="D58" s="468">
        <v>230</v>
      </c>
      <c r="F58" s="303"/>
      <c r="G58" s="303"/>
    </row>
    <row r="59" spans="1:11" ht="16.5" thickTop="1">
      <c r="A59" s="21"/>
      <c r="B59" s="21"/>
      <c r="C59" s="22" t="s">
        <v>172</v>
      </c>
      <c r="D59" s="130">
        <f>SUM(D53:D58)+SUM(D31:D47)+SUM(D8:D18)</f>
        <v>14746</v>
      </c>
      <c r="E59" s="131">
        <v>14746</v>
      </c>
      <c r="F59" s="132">
        <f>E59-D59</f>
        <v>0</v>
      </c>
      <c r="G59" s="132"/>
      <c r="H59" s="132"/>
      <c r="I59" s="133"/>
      <c r="J59" s="133"/>
      <c r="K59" s="133"/>
    </row>
    <row r="60" spans="1:11" ht="15.75">
      <c r="A60" s="432">
        <f>A37</f>
        <v>42</v>
      </c>
      <c r="B60" s="432"/>
      <c r="C60" s="433" t="s">
        <v>169</v>
      </c>
      <c r="D60" s="151">
        <f>D37+D38+D39</f>
        <v>1104</v>
      </c>
      <c r="E60" s="131"/>
      <c r="F60" s="132"/>
      <c r="G60" s="132"/>
      <c r="H60" s="132"/>
      <c r="I60" s="133"/>
      <c r="J60" s="133"/>
      <c r="K60" s="133"/>
    </row>
    <row r="61" spans="1:11" s="137" customFormat="1" ht="16.5" thickBot="1">
      <c r="A61" s="23"/>
      <c r="B61" s="23"/>
      <c r="C61" s="121" t="s">
        <v>168</v>
      </c>
      <c r="D61" s="134">
        <f>SUM(D49:D52)+SUM(D19:D30)</f>
        <v>460</v>
      </c>
      <c r="E61" s="126"/>
      <c r="F61" s="135"/>
      <c r="G61" s="135"/>
      <c r="H61" s="135"/>
      <c r="I61" s="136"/>
      <c r="J61" s="136"/>
      <c r="K61" s="136"/>
    </row>
    <row r="62" spans="2:11" ht="17.25" hidden="1" thickBot="1" thickTop="1">
      <c r="B62" s="681"/>
      <c r="C62" s="682"/>
      <c r="D62" s="682"/>
      <c r="F62" s="133"/>
      <c r="G62" s="133"/>
      <c r="H62" s="133"/>
      <c r="I62" s="133"/>
      <c r="J62" s="133"/>
      <c r="K62" s="133"/>
    </row>
    <row r="63" spans="1:11" ht="17.25" hidden="1" thickBot="1" thickTop="1">
      <c r="A63" s="24"/>
      <c r="B63" s="24"/>
      <c r="C63" s="25"/>
      <c r="D63" s="24"/>
      <c r="F63" s="133"/>
      <c r="G63" s="133"/>
      <c r="H63" s="133"/>
      <c r="I63" s="133"/>
      <c r="J63" s="133"/>
      <c r="K63" s="133"/>
    </row>
    <row r="64" spans="1:11" s="138" customFormat="1" ht="17.25" hidden="1" thickBot="1" thickTop="1">
      <c r="A64" s="69"/>
      <c r="B64" s="69"/>
      <c r="C64" s="93"/>
      <c r="D64" s="69"/>
      <c r="F64" s="133"/>
      <c r="G64" s="139"/>
      <c r="H64" s="139"/>
      <c r="I64" s="139"/>
      <c r="J64" s="139"/>
      <c r="K64" s="139"/>
    </row>
    <row r="65" spans="1:11" ht="20.25" customHeight="1" hidden="1">
      <c r="A65" s="15"/>
      <c r="B65" s="15"/>
      <c r="C65" s="16"/>
      <c r="D65" s="15"/>
      <c r="F65" s="133"/>
      <c r="G65" s="133"/>
      <c r="H65" s="133"/>
      <c r="I65" s="133"/>
      <c r="J65" s="133"/>
      <c r="K65" s="133"/>
    </row>
    <row r="66" spans="1:11" ht="17.25" hidden="1" thickBot="1" thickTop="1">
      <c r="A66" s="92"/>
      <c r="B66" s="92"/>
      <c r="C66" s="14"/>
      <c r="D66" s="13"/>
      <c r="F66" s="133"/>
      <c r="G66" s="133"/>
      <c r="H66" s="133"/>
      <c r="I66" s="133"/>
      <c r="J66" s="133"/>
      <c r="K66" s="133"/>
    </row>
    <row r="67" spans="1:11" ht="17.25" hidden="1" thickBot="1" thickTop="1">
      <c r="A67" s="21"/>
      <c r="B67" s="21"/>
      <c r="C67" s="22"/>
      <c r="D67" s="160"/>
      <c r="E67" s="131"/>
      <c r="F67" s="132"/>
      <c r="G67" s="132"/>
      <c r="H67" s="132"/>
      <c r="I67" s="133"/>
      <c r="J67" s="133"/>
      <c r="K67" s="133"/>
    </row>
    <row r="68" spans="1:11" ht="17.25" hidden="1" thickBot="1" thickTop="1">
      <c r="A68" s="157"/>
      <c r="B68" s="157"/>
      <c r="C68" s="158"/>
      <c r="D68" s="159"/>
      <c r="E68" s="131"/>
      <c r="F68" s="132"/>
      <c r="G68" s="132"/>
      <c r="H68" s="132"/>
      <c r="I68" s="133"/>
      <c r="J68" s="133"/>
      <c r="K68" s="133"/>
    </row>
    <row r="69" spans="1:11" ht="21.75" customHeight="1" thickBot="1" thickTop="1">
      <c r="A69" s="682" t="s">
        <v>246</v>
      </c>
      <c r="B69" s="682"/>
      <c r="C69" s="682"/>
      <c r="D69" s="682"/>
      <c r="F69" s="133"/>
      <c r="G69" s="133"/>
      <c r="H69" s="133"/>
      <c r="I69" s="133"/>
      <c r="J69" s="133"/>
      <c r="K69" s="133"/>
    </row>
    <row r="70" spans="1:7" ht="16.5" thickTop="1">
      <c r="A70" s="29">
        <v>22</v>
      </c>
      <c r="B70" s="29"/>
      <c r="C70" s="30" t="s">
        <v>34</v>
      </c>
      <c r="D70" s="141">
        <v>149</v>
      </c>
      <c r="F70" s="303"/>
      <c r="G70" s="303"/>
    </row>
    <row r="71" spans="1:7" ht="15.75">
      <c r="A71" s="29">
        <v>19</v>
      </c>
      <c r="B71" s="29"/>
      <c r="C71" s="30" t="s">
        <v>73</v>
      </c>
      <c r="D71" s="141">
        <v>50</v>
      </c>
      <c r="F71" s="303"/>
      <c r="G71" s="303"/>
    </row>
    <row r="72" spans="1:7" ht="15.75">
      <c r="A72" s="36">
        <v>21</v>
      </c>
      <c r="B72" s="36"/>
      <c r="C72" s="37" t="s">
        <v>230</v>
      </c>
      <c r="D72" s="192">
        <v>59</v>
      </c>
      <c r="F72" s="303"/>
      <c r="G72" s="303"/>
    </row>
    <row r="73" spans="1:7" ht="15.75">
      <c r="A73" s="36">
        <v>23</v>
      </c>
      <c r="B73" s="36"/>
      <c r="C73" s="37" t="s">
        <v>74</v>
      </c>
      <c r="D73" s="192">
        <v>23</v>
      </c>
      <c r="F73" s="303"/>
      <c r="G73" s="303"/>
    </row>
    <row r="74" spans="1:7" ht="15.75">
      <c r="A74" s="29">
        <v>24</v>
      </c>
      <c r="B74" s="29"/>
      <c r="C74" s="30" t="s">
        <v>28</v>
      </c>
      <c r="D74" s="141">
        <v>1050</v>
      </c>
      <c r="F74" s="303"/>
      <c r="G74" s="303"/>
    </row>
    <row r="75" spans="1:7" ht="15.75">
      <c r="A75" s="29">
        <v>30</v>
      </c>
      <c r="B75" s="29"/>
      <c r="C75" s="30" t="s">
        <v>71</v>
      </c>
      <c r="D75" s="141">
        <v>79</v>
      </c>
      <c r="F75" s="303"/>
      <c r="G75" s="303"/>
    </row>
    <row r="76" spans="1:7" ht="15.75">
      <c r="A76" s="29">
        <v>34</v>
      </c>
      <c r="B76" s="29"/>
      <c r="C76" s="30" t="s">
        <v>31</v>
      </c>
      <c r="D76" s="141">
        <v>180</v>
      </c>
      <c r="F76" s="303"/>
      <c r="G76" s="303"/>
    </row>
    <row r="77" spans="1:7" ht="15.75">
      <c r="A77" s="29">
        <v>38</v>
      </c>
      <c r="B77" s="29"/>
      <c r="C77" s="30" t="s">
        <v>37</v>
      </c>
      <c r="D77" s="141">
        <v>51</v>
      </c>
      <c r="F77" s="303"/>
      <c r="G77" s="303"/>
    </row>
    <row r="78" spans="1:7" ht="15.75">
      <c r="A78" s="29">
        <v>63</v>
      </c>
      <c r="B78" s="29"/>
      <c r="C78" s="30" t="s">
        <v>20</v>
      </c>
      <c r="D78" s="141">
        <v>24</v>
      </c>
      <c r="F78" s="303"/>
      <c r="G78" s="303"/>
    </row>
    <row r="79" spans="1:7" ht="15.75">
      <c r="A79" s="29">
        <v>39</v>
      </c>
      <c r="B79" s="29"/>
      <c r="C79" s="30" t="s">
        <v>30</v>
      </c>
      <c r="D79" s="141">
        <v>270</v>
      </c>
      <c r="F79" s="303"/>
      <c r="G79" s="303"/>
    </row>
    <row r="80" spans="1:7" ht="15.75">
      <c r="A80" s="29">
        <v>55</v>
      </c>
      <c r="B80" s="29"/>
      <c r="C80" s="30" t="s">
        <v>24</v>
      </c>
      <c r="D80" s="141">
        <v>615</v>
      </c>
      <c r="E80" s="129"/>
      <c r="F80" s="303"/>
      <c r="G80" s="303"/>
    </row>
    <row r="81" spans="1:7" ht="15.75">
      <c r="A81" s="29">
        <v>74</v>
      </c>
      <c r="B81" s="29"/>
      <c r="C81" s="30" t="s">
        <v>67</v>
      </c>
      <c r="D81" s="141">
        <v>110</v>
      </c>
      <c r="F81" s="303"/>
      <c r="G81" s="303"/>
    </row>
    <row r="82" spans="1:7" ht="16.5" thickBot="1">
      <c r="A82" s="29">
        <v>82</v>
      </c>
      <c r="B82" s="29"/>
      <c r="C82" s="30" t="s">
        <v>68</v>
      </c>
      <c r="D82" s="141">
        <v>20</v>
      </c>
      <c r="F82" s="303"/>
      <c r="G82" s="303"/>
    </row>
    <row r="83" spans="1:8" ht="17.25" thickBot="1" thickTop="1">
      <c r="A83" s="31"/>
      <c r="B83" s="31"/>
      <c r="C83" s="32" t="s">
        <v>7</v>
      </c>
      <c r="D83" s="142">
        <f>SUM(D70:D82)</f>
        <v>2680</v>
      </c>
      <c r="E83" s="131"/>
      <c r="F83" s="132"/>
      <c r="G83" s="132"/>
      <c r="H83" s="131"/>
    </row>
    <row r="84" spans="1:7" ht="17.25" customHeight="1" thickBot="1" thickTop="1">
      <c r="A84" s="682" t="s">
        <v>247</v>
      </c>
      <c r="B84" s="682"/>
      <c r="C84" s="682"/>
      <c r="D84" s="682"/>
      <c r="F84" s="303"/>
      <c r="G84" s="303"/>
    </row>
    <row r="85" spans="1:7" ht="16.5" thickTop="1">
      <c r="A85" s="33">
        <v>3</v>
      </c>
      <c r="B85" s="33"/>
      <c r="C85" s="34" t="s">
        <v>83</v>
      </c>
      <c r="D85" s="295">
        <v>104</v>
      </c>
      <c r="F85" s="303"/>
      <c r="G85" s="132"/>
    </row>
    <row r="86" spans="1:7" s="138" customFormat="1" ht="15.75">
      <c r="A86" s="35">
        <v>6</v>
      </c>
      <c r="B86" s="35"/>
      <c r="C86" s="30" t="s">
        <v>229</v>
      </c>
      <c r="D86" s="294">
        <v>1432</v>
      </c>
      <c r="E86" s="126">
        <f>D86+D88</f>
        <v>2286</v>
      </c>
      <c r="F86" s="304"/>
      <c r="G86" s="305"/>
    </row>
    <row r="87" spans="1:7" ht="15.75">
      <c r="A87" s="29">
        <v>4</v>
      </c>
      <c r="B87" s="29"/>
      <c r="C87" s="30" t="s">
        <v>227</v>
      </c>
      <c r="D87" s="294">
        <v>1104</v>
      </c>
      <c r="F87" s="303"/>
      <c r="G87" s="132"/>
    </row>
    <row r="88" spans="1:7" ht="15.75">
      <c r="A88" s="36">
        <v>5</v>
      </c>
      <c r="B88" s="36"/>
      <c r="C88" s="37" t="s">
        <v>228</v>
      </c>
      <c r="D88" s="293">
        <v>854</v>
      </c>
      <c r="F88" s="303"/>
      <c r="G88" s="132"/>
    </row>
    <row r="89" spans="1:7" ht="16.5" thickBot="1">
      <c r="A89" s="38">
        <v>39</v>
      </c>
      <c r="B89" s="38"/>
      <c r="C89" s="39" t="s">
        <v>30</v>
      </c>
      <c r="D89" s="470">
        <v>155</v>
      </c>
      <c r="F89" s="303"/>
      <c r="G89" s="132"/>
    </row>
    <row r="90" spans="1:8" ht="17.25" thickBot="1" thickTop="1">
      <c r="A90" s="40"/>
      <c r="B90" s="40"/>
      <c r="C90" s="41" t="s">
        <v>7</v>
      </c>
      <c r="D90" s="145">
        <f>SUM(D85:D89)</f>
        <v>3649</v>
      </c>
      <c r="E90" s="131"/>
      <c r="F90" s="132"/>
      <c r="G90" s="132"/>
      <c r="H90" s="131"/>
    </row>
    <row r="91" spans="2:7" ht="17.25" hidden="1" thickBot="1" thickTop="1">
      <c r="B91" s="681"/>
      <c r="C91" s="682"/>
      <c r="D91" s="682"/>
      <c r="F91" s="303"/>
      <c r="G91" s="303"/>
    </row>
    <row r="92" spans="1:7" ht="17.25" hidden="1" thickBot="1" thickTop="1">
      <c r="A92" s="42"/>
      <c r="B92" s="42"/>
      <c r="C92" s="43"/>
      <c r="D92" s="146"/>
      <c r="F92" s="303"/>
      <c r="G92" s="303"/>
    </row>
    <row r="93" spans="1:8" ht="17.25" hidden="1" thickBot="1" thickTop="1">
      <c r="A93" s="40"/>
      <c r="B93" s="40"/>
      <c r="C93" s="41"/>
      <c r="D93" s="145"/>
      <c r="F93" s="132"/>
      <c r="G93" s="132"/>
      <c r="H93" s="131"/>
    </row>
    <row r="94" spans="2:7" ht="17.25" hidden="1" thickBot="1" thickTop="1">
      <c r="B94" s="681"/>
      <c r="C94" s="682"/>
      <c r="D94" s="682"/>
      <c r="F94" s="303"/>
      <c r="G94" s="303"/>
    </row>
    <row r="95" spans="1:7" ht="17.25" hidden="1" thickBot="1" thickTop="1">
      <c r="A95" s="33"/>
      <c r="B95" s="33"/>
      <c r="C95" s="49"/>
      <c r="D95" s="24"/>
      <c r="F95" s="303"/>
      <c r="G95" s="303"/>
    </row>
    <row r="96" spans="1:7" ht="17.25" hidden="1" thickBot="1" thickTop="1">
      <c r="A96" s="36"/>
      <c r="B96" s="36"/>
      <c r="C96" s="50"/>
      <c r="D96" s="293"/>
      <c r="F96" s="67"/>
      <c r="G96" s="303"/>
    </row>
    <row r="97" spans="1:7" ht="17.25" hidden="1" thickBot="1" thickTop="1">
      <c r="A97" s="36"/>
      <c r="B97" s="36"/>
      <c r="C97" s="50"/>
      <c r="D97" s="13"/>
      <c r="F97" s="67"/>
      <c r="G97" s="303"/>
    </row>
    <row r="98" spans="1:7" s="138" customFormat="1" ht="17.25" hidden="1" thickBot="1" thickTop="1">
      <c r="A98" s="51"/>
      <c r="B98" s="51"/>
      <c r="C98" s="50"/>
      <c r="D98" s="293"/>
      <c r="E98" s="126"/>
      <c r="F98" s="139"/>
      <c r="G98" s="139"/>
    </row>
    <row r="99" spans="1:7" ht="17.25" hidden="1" thickBot="1" thickTop="1">
      <c r="A99" s="36"/>
      <c r="B99" s="36"/>
      <c r="C99" s="50"/>
      <c r="D99" s="13"/>
      <c r="F99" s="303"/>
      <c r="G99" s="303"/>
    </row>
    <row r="100" spans="1:7" ht="17.25" hidden="1" thickBot="1" thickTop="1">
      <c r="A100" s="36"/>
      <c r="B100" s="36"/>
      <c r="C100" s="50"/>
      <c r="D100" s="13"/>
      <c r="E100" s="129"/>
      <c r="F100" s="303"/>
      <c r="G100" s="303"/>
    </row>
    <row r="101" spans="1:7" ht="17.25" hidden="1" thickBot="1" thickTop="1">
      <c r="A101" s="38"/>
      <c r="B101" s="38"/>
      <c r="C101" s="52"/>
      <c r="D101" s="60"/>
      <c r="F101" s="303"/>
      <c r="G101" s="303"/>
    </row>
    <row r="102" spans="1:8" ht="17.25" hidden="1" thickBot="1" thickTop="1">
      <c r="A102" s="40"/>
      <c r="B102" s="40"/>
      <c r="C102" s="53"/>
      <c r="D102" s="147"/>
      <c r="F102" s="132"/>
      <c r="G102" s="132"/>
      <c r="H102" s="131"/>
    </row>
    <row r="103" spans="2:7" ht="17.25" hidden="1" thickBot="1" thickTop="1">
      <c r="B103" s="681"/>
      <c r="C103" s="682"/>
      <c r="D103" s="682"/>
      <c r="F103" s="303"/>
      <c r="G103" s="303"/>
    </row>
    <row r="104" spans="1:7" ht="17.25" hidden="1" thickBot="1" thickTop="1">
      <c r="A104" s="29"/>
      <c r="B104" s="29"/>
      <c r="C104" s="30"/>
      <c r="D104" s="294"/>
      <c r="F104" s="303"/>
      <c r="G104" s="303"/>
    </row>
    <row r="105" spans="1:7" ht="17.25" hidden="1" thickBot="1" thickTop="1">
      <c r="A105" s="36"/>
      <c r="B105" s="36"/>
      <c r="C105" s="37"/>
      <c r="D105" s="13"/>
      <c r="F105" s="303"/>
      <c r="G105" s="303"/>
    </row>
    <row r="106" spans="1:7" s="138" customFormat="1" ht="17.25" hidden="1" thickBot="1" thickTop="1">
      <c r="A106" s="51"/>
      <c r="B106" s="51"/>
      <c r="C106" s="37"/>
      <c r="D106" s="293"/>
      <c r="E106" s="126"/>
      <c r="F106" s="67"/>
      <c r="G106" s="139"/>
    </row>
    <row r="107" spans="1:7" ht="17.25" hidden="1" thickBot="1" thickTop="1">
      <c r="A107" s="36"/>
      <c r="B107" s="36"/>
      <c r="C107" s="37"/>
      <c r="D107" s="293"/>
      <c r="F107" s="67"/>
      <c r="G107" s="139"/>
    </row>
    <row r="108" spans="1:7" ht="17.25" hidden="1" thickBot="1" thickTop="1">
      <c r="A108" s="36"/>
      <c r="B108" s="36"/>
      <c r="C108" s="37"/>
      <c r="D108" s="293"/>
      <c r="F108" s="303"/>
      <c r="G108" s="303"/>
    </row>
    <row r="109" spans="1:7" ht="17.25" hidden="1" thickBot="1" thickTop="1">
      <c r="A109" s="36"/>
      <c r="B109" s="36"/>
      <c r="C109" s="37"/>
      <c r="D109" s="13"/>
      <c r="F109" s="303"/>
      <c r="G109" s="303"/>
    </row>
    <row r="110" spans="1:7" ht="17.25" hidden="1" thickBot="1" thickTop="1">
      <c r="A110" s="29"/>
      <c r="B110" s="29"/>
      <c r="C110" s="30"/>
      <c r="D110" s="15"/>
      <c r="F110" s="303"/>
      <c r="G110" s="303"/>
    </row>
    <row r="111" spans="1:7" ht="17.25" hidden="1" thickBot="1" thickTop="1">
      <c r="A111" s="54"/>
      <c r="B111" s="54"/>
      <c r="C111" s="37"/>
      <c r="D111" s="13"/>
      <c r="F111" s="303"/>
      <c r="G111" s="303"/>
    </row>
    <row r="112" spans="1:7" ht="17.25" hidden="1" thickBot="1" thickTop="1">
      <c r="A112" s="55"/>
      <c r="B112" s="55"/>
      <c r="C112" s="47"/>
      <c r="D112" s="20"/>
      <c r="F112" s="303"/>
      <c r="G112" s="303"/>
    </row>
    <row r="113" spans="1:8" ht="17.25" hidden="1" thickBot="1" thickTop="1">
      <c r="A113" s="31"/>
      <c r="B113" s="31"/>
      <c r="C113" s="32"/>
      <c r="D113" s="140"/>
      <c r="F113" s="132"/>
      <c r="G113" s="132"/>
      <c r="H113" s="131"/>
    </row>
    <row r="114" spans="2:7" ht="17.25" hidden="1" thickBot="1" thickTop="1">
      <c r="B114" s="681"/>
      <c r="C114" s="682"/>
      <c r="D114" s="682"/>
      <c r="F114" s="303"/>
      <c r="G114" s="303"/>
    </row>
    <row r="115" spans="1:7" ht="17.25" hidden="1" thickBot="1" thickTop="1">
      <c r="A115" s="33"/>
      <c r="B115" s="33"/>
      <c r="C115" s="49"/>
      <c r="D115" s="295"/>
      <c r="F115" s="303"/>
      <c r="G115" s="303"/>
    </row>
    <row r="116" spans="1:7" ht="17.25" hidden="1" thickBot="1" thickTop="1">
      <c r="A116" s="36"/>
      <c r="B116" s="36"/>
      <c r="C116" s="50"/>
      <c r="D116" s="13"/>
      <c r="F116" s="303"/>
      <c r="G116" s="303"/>
    </row>
    <row r="117" spans="1:7" ht="17.25" hidden="1" thickBot="1" thickTop="1">
      <c r="A117" s="36"/>
      <c r="B117" s="36"/>
      <c r="C117" s="50"/>
      <c r="D117" s="293"/>
      <c r="F117" s="67"/>
      <c r="G117" s="139"/>
    </row>
    <row r="118" spans="1:7" ht="17.25" hidden="1" thickBot="1" thickTop="1">
      <c r="A118" s="36"/>
      <c r="B118" s="36"/>
      <c r="C118" s="50"/>
      <c r="D118" s="293"/>
      <c r="F118" s="67"/>
      <c r="G118" s="139"/>
    </row>
    <row r="119" spans="1:7" ht="17.25" hidden="1" thickBot="1" thickTop="1">
      <c r="A119" s="36"/>
      <c r="B119" s="36"/>
      <c r="C119" s="50"/>
      <c r="D119" s="13"/>
      <c r="F119" s="303"/>
      <c r="G119" s="303"/>
    </row>
    <row r="120" spans="1:7" ht="17.25" hidden="1" thickBot="1" thickTop="1">
      <c r="A120" s="36"/>
      <c r="B120" s="36"/>
      <c r="C120" s="50"/>
      <c r="D120" s="13"/>
      <c r="F120" s="303"/>
      <c r="G120" s="303"/>
    </row>
    <row r="121" spans="1:7" ht="17.25" hidden="1" thickBot="1" thickTop="1">
      <c r="A121" s="45"/>
      <c r="B121" s="45"/>
      <c r="C121" s="37"/>
      <c r="D121" s="20"/>
      <c r="F121" s="303"/>
      <c r="G121" s="303"/>
    </row>
    <row r="122" spans="1:7" ht="17.25" hidden="1" thickBot="1" thickTop="1">
      <c r="A122" s="45"/>
      <c r="B122" s="45"/>
      <c r="C122" s="56"/>
      <c r="D122" s="20"/>
      <c r="F122" s="303"/>
      <c r="G122" s="303"/>
    </row>
    <row r="123" spans="1:8" ht="17.25" hidden="1" thickBot="1" thickTop="1">
      <c r="A123" s="31"/>
      <c r="B123" s="31"/>
      <c r="C123" s="28"/>
      <c r="D123" s="140"/>
      <c r="F123" s="132"/>
      <c r="G123" s="303"/>
      <c r="H123" s="131"/>
    </row>
    <row r="124" spans="2:7" ht="17.25" customHeight="1" hidden="1" thickBot="1" thickTop="1">
      <c r="B124" s="681"/>
      <c r="C124" s="682"/>
      <c r="D124" s="682"/>
      <c r="F124" s="303"/>
      <c r="G124" s="303"/>
    </row>
    <row r="125" spans="1:7" ht="17.25" hidden="1" thickBot="1" thickTop="1">
      <c r="A125" s="21"/>
      <c r="B125" s="21"/>
      <c r="C125" s="34"/>
      <c r="D125" s="295"/>
      <c r="F125" s="303"/>
      <c r="G125" s="303"/>
    </row>
    <row r="126" spans="1:7" ht="17.25" hidden="1" thickBot="1" thickTop="1">
      <c r="A126" s="54"/>
      <c r="B126" s="54"/>
      <c r="C126" s="37"/>
      <c r="D126" s="13"/>
      <c r="F126" s="303"/>
      <c r="G126" s="303"/>
    </row>
    <row r="127" spans="1:7" ht="17.25" hidden="1" thickBot="1" thickTop="1">
      <c r="A127" s="54"/>
      <c r="B127" s="54"/>
      <c r="C127" s="37"/>
      <c r="D127" s="293"/>
      <c r="F127" s="67"/>
      <c r="G127" s="139"/>
    </row>
    <row r="128" spans="1:7" ht="17.25" hidden="1" thickBot="1" thickTop="1">
      <c r="A128" s="36"/>
      <c r="B128" s="36"/>
      <c r="C128" s="37"/>
      <c r="D128" s="293"/>
      <c r="F128" s="67"/>
      <c r="G128" s="139"/>
    </row>
    <row r="129" spans="1:7" ht="17.25" hidden="1" thickBot="1" thickTop="1">
      <c r="A129" s="36"/>
      <c r="B129" s="36"/>
      <c r="C129" s="50"/>
      <c r="D129" s="293"/>
      <c r="F129" s="303"/>
      <c r="G129" s="303"/>
    </row>
    <row r="130" spans="1:7" ht="17.25" hidden="1" thickBot="1" thickTop="1">
      <c r="A130" s="36"/>
      <c r="B130" s="36"/>
      <c r="C130" s="37"/>
      <c r="D130" s="13"/>
      <c r="F130" s="303"/>
      <c r="G130" s="303"/>
    </row>
    <row r="131" spans="1:7" ht="17.25" hidden="1" thickBot="1" thickTop="1">
      <c r="A131" s="36"/>
      <c r="B131" s="36"/>
      <c r="C131" s="37"/>
      <c r="D131" s="13"/>
      <c r="F131" s="303"/>
      <c r="G131" s="303"/>
    </row>
    <row r="132" spans="1:7" ht="17.25" hidden="1" thickBot="1" thickTop="1">
      <c r="A132" s="55"/>
      <c r="B132" s="55"/>
      <c r="C132" s="47"/>
      <c r="D132" s="20"/>
      <c r="F132" s="303"/>
      <c r="G132" s="303"/>
    </row>
    <row r="133" spans="1:12" ht="17.25" hidden="1" thickBot="1" thickTop="1">
      <c r="A133" s="31"/>
      <c r="B133" s="31"/>
      <c r="C133" s="32"/>
      <c r="D133" s="140"/>
      <c r="F133" s="132"/>
      <c r="G133" s="303"/>
      <c r="H133" s="131"/>
      <c r="K133" s="131"/>
      <c r="L133" s="131"/>
    </row>
    <row r="134" spans="2:7" ht="17.25" hidden="1" thickBot="1" thickTop="1">
      <c r="B134" s="681"/>
      <c r="C134" s="682"/>
      <c r="D134" s="682"/>
      <c r="F134" s="303"/>
      <c r="G134" s="303"/>
    </row>
    <row r="135" spans="1:11" ht="17.25" hidden="1" thickBot="1" thickTop="1">
      <c r="A135" s="36"/>
      <c r="B135" s="36"/>
      <c r="C135" s="50"/>
      <c r="D135" s="13"/>
      <c r="F135" s="132"/>
      <c r="G135" s="132"/>
      <c r="H135" s="131"/>
      <c r="I135" s="131"/>
      <c r="J135" s="131"/>
      <c r="K135" s="131"/>
    </row>
    <row r="136" spans="1:7" ht="17.25" hidden="1" thickBot="1" thickTop="1">
      <c r="A136" s="36"/>
      <c r="B136" s="36"/>
      <c r="C136" s="50"/>
      <c r="D136" s="13"/>
      <c r="F136" s="303"/>
      <c r="G136" s="303"/>
    </row>
    <row r="137" spans="1:7" ht="17.25" hidden="1" thickBot="1" thickTop="1">
      <c r="A137" s="36"/>
      <c r="B137" s="36"/>
      <c r="C137" s="50"/>
      <c r="D137" s="293"/>
      <c r="F137" s="303"/>
      <c r="G137" s="303"/>
    </row>
    <row r="138" spans="1:10" ht="17.25" hidden="1" thickBot="1" thickTop="1">
      <c r="A138" s="36"/>
      <c r="B138" s="36"/>
      <c r="C138" s="50"/>
      <c r="D138" s="13"/>
      <c r="F138" s="303"/>
      <c r="G138" s="303"/>
      <c r="I138" s="131"/>
      <c r="J138" s="131"/>
    </row>
    <row r="139" spans="1:10" ht="17.25" hidden="1" thickBot="1" thickTop="1">
      <c r="A139" s="36"/>
      <c r="B139" s="36"/>
      <c r="C139" s="50"/>
      <c r="D139" s="13"/>
      <c r="F139" s="303"/>
      <c r="G139" s="303"/>
      <c r="I139" s="131"/>
      <c r="J139" s="131"/>
    </row>
    <row r="140" spans="1:7" ht="17.25" hidden="1" thickBot="1" thickTop="1">
      <c r="A140" s="36"/>
      <c r="B140" s="36"/>
      <c r="C140" s="50"/>
      <c r="D140" s="13"/>
      <c r="F140" s="303"/>
      <c r="G140" s="303"/>
    </row>
    <row r="141" spans="1:7" ht="17.25" hidden="1" thickBot="1" thickTop="1">
      <c r="A141" s="29"/>
      <c r="B141" s="29"/>
      <c r="C141" s="57"/>
      <c r="D141" s="15"/>
      <c r="F141" s="303"/>
      <c r="G141" s="303"/>
    </row>
    <row r="142" spans="1:7" ht="17.25" hidden="1" thickBot="1" thickTop="1">
      <c r="A142" s="36"/>
      <c r="B142" s="36"/>
      <c r="C142" s="50"/>
      <c r="D142" s="13"/>
      <c r="F142" s="303"/>
      <c r="G142" s="303"/>
    </row>
    <row r="143" spans="1:10" ht="17.25" hidden="1" thickBot="1" thickTop="1">
      <c r="A143" s="38"/>
      <c r="B143" s="38"/>
      <c r="C143" s="52"/>
      <c r="D143" s="60"/>
      <c r="F143" s="132"/>
      <c r="G143" s="303"/>
      <c r="J143" s="131"/>
    </row>
    <row r="144" spans="1:10" ht="17.25" hidden="1" thickBot="1" thickTop="1">
      <c r="A144" s="40"/>
      <c r="B144" s="40"/>
      <c r="C144" s="53"/>
      <c r="D144" s="145"/>
      <c r="F144" s="132"/>
      <c r="G144" s="132"/>
      <c r="H144" s="131"/>
      <c r="I144" s="131"/>
      <c r="J144" s="131"/>
    </row>
    <row r="145" spans="2:7" ht="17.25" hidden="1" thickBot="1" thickTop="1">
      <c r="B145" s="681"/>
      <c r="C145" s="682"/>
      <c r="D145" s="682"/>
      <c r="F145" s="303"/>
      <c r="G145" s="303"/>
    </row>
    <row r="146" spans="1:7" ht="17.25" hidden="1" thickBot="1" thickTop="1">
      <c r="A146" s="33"/>
      <c r="B146" s="33"/>
      <c r="C146" s="34"/>
      <c r="D146" s="345"/>
      <c r="F146" s="303"/>
      <c r="G146" s="303"/>
    </row>
    <row r="147" spans="1:7" ht="17.25" hidden="1" thickBot="1" thickTop="1">
      <c r="A147" s="29"/>
      <c r="B147" s="29"/>
      <c r="C147" s="30"/>
      <c r="D147" s="346"/>
      <c r="F147" s="303"/>
      <c r="G147" s="303"/>
    </row>
    <row r="148" spans="1:7" ht="17.25" hidden="1" thickBot="1" thickTop="1">
      <c r="A148" s="36"/>
      <c r="B148" s="36"/>
      <c r="C148" s="37"/>
      <c r="D148" s="344"/>
      <c r="F148" s="303"/>
      <c r="G148" s="303"/>
    </row>
    <row r="149" spans="1:7" ht="17.25" hidden="1" thickBot="1" thickTop="1">
      <c r="A149" s="36"/>
      <c r="B149" s="36"/>
      <c r="C149" s="30"/>
      <c r="D149" s="344"/>
      <c r="F149" s="303"/>
      <c r="G149" s="303"/>
    </row>
    <row r="150" spans="1:7" ht="17.25" hidden="1" thickBot="1" thickTop="1">
      <c r="A150" s="36"/>
      <c r="B150" s="36"/>
      <c r="C150" s="37"/>
      <c r="D150" s="344"/>
      <c r="F150" s="303"/>
      <c r="G150" s="303"/>
    </row>
    <row r="151" spans="1:7" ht="17.25" hidden="1" thickBot="1" thickTop="1">
      <c r="A151" s="36"/>
      <c r="B151" s="36"/>
      <c r="C151" s="37"/>
      <c r="D151" s="344"/>
      <c r="F151" s="303"/>
      <c r="G151" s="303"/>
    </row>
    <row r="152" spans="1:7" ht="17.25" hidden="1" thickBot="1" thickTop="1">
      <c r="A152" s="36"/>
      <c r="B152" s="36"/>
      <c r="C152" s="37"/>
      <c r="D152" s="148"/>
      <c r="F152" s="303"/>
      <c r="G152" s="303"/>
    </row>
    <row r="153" spans="1:7" ht="17.25" hidden="1" thickBot="1" thickTop="1">
      <c r="A153" s="36"/>
      <c r="B153" s="36"/>
      <c r="C153" s="37"/>
      <c r="D153" s="127"/>
      <c r="F153" s="303"/>
      <c r="G153" s="303"/>
    </row>
    <row r="154" spans="1:7" ht="17.25" hidden="1" thickBot="1" thickTop="1">
      <c r="A154" s="51"/>
      <c r="B154" s="51"/>
      <c r="C154" s="50"/>
      <c r="D154" s="344"/>
      <c r="F154" s="303"/>
      <c r="G154" s="303"/>
    </row>
    <row r="155" spans="1:7" ht="17.25" hidden="1" thickBot="1" thickTop="1">
      <c r="A155" s="36"/>
      <c r="B155" s="36"/>
      <c r="C155" s="37"/>
      <c r="D155" s="127"/>
      <c r="F155" s="303"/>
      <c r="G155" s="303"/>
    </row>
    <row r="156" spans="1:7" ht="17.25" hidden="1" thickBot="1" thickTop="1">
      <c r="A156" s="36"/>
      <c r="B156" s="36"/>
      <c r="C156" s="37"/>
      <c r="D156" s="127"/>
      <c r="F156" s="303"/>
      <c r="G156" s="303"/>
    </row>
    <row r="157" spans="1:7" ht="17.25" hidden="1" thickBot="1" thickTop="1">
      <c r="A157" s="45"/>
      <c r="B157" s="45"/>
      <c r="C157" s="47"/>
      <c r="D157" s="148"/>
      <c r="F157" s="303"/>
      <c r="G157" s="303"/>
    </row>
    <row r="158" spans="1:12" ht="17.25" hidden="1" thickBot="1" thickTop="1">
      <c r="A158" s="31"/>
      <c r="B158" s="31"/>
      <c r="C158" s="32"/>
      <c r="D158" s="149"/>
      <c r="F158" s="132"/>
      <c r="G158" s="132"/>
      <c r="H158" s="131"/>
      <c r="K158" s="131"/>
      <c r="L158" s="131"/>
    </row>
    <row r="159" spans="2:7" ht="17.25" hidden="1" thickBot="1" thickTop="1">
      <c r="B159" s="681"/>
      <c r="C159" s="682"/>
      <c r="D159" s="682"/>
      <c r="F159" s="303"/>
      <c r="G159" s="303"/>
    </row>
    <row r="160" spans="1:7" ht="17.25" hidden="1" thickBot="1" thickTop="1">
      <c r="A160" s="36"/>
      <c r="B160" s="36"/>
      <c r="C160" s="50"/>
      <c r="D160" s="13"/>
      <c r="F160" s="303"/>
      <c r="G160" s="303"/>
    </row>
    <row r="161" spans="1:7" ht="17.25" hidden="1" thickBot="1" thickTop="1">
      <c r="A161" s="36"/>
      <c r="B161" s="36"/>
      <c r="C161" s="50"/>
      <c r="D161" s="293"/>
      <c r="F161" s="303"/>
      <c r="G161" s="303"/>
    </row>
    <row r="162" spans="1:7" ht="17.25" hidden="1" thickBot="1" thickTop="1">
      <c r="A162" s="36"/>
      <c r="B162" s="36"/>
      <c r="C162" s="50"/>
      <c r="D162" s="293"/>
      <c r="F162" s="303"/>
      <c r="G162" s="303"/>
    </row>
    <row r="163" spans="1:7" ht="17.25" hidden="1" thickBot="1" thickTop="1">
      <c r="A163" s="36"/>
      <c r="B163" s="36"/>
      <c r="C163" s="50"/>
      <c r="D163" s="293"/>
      <c r="F163" s="303"/>
      <c r="G163" s="303"/>
    </row>
    <row r="164" spans="1:7" ht="17.25" hidden="1" thickBot="1" thickTop="1">
      <c r="A164" s="36"/>
      <c r="B164" s="36"/>
      <c r="C164" s="50"/>
      <c r="D164" s="293"/>
      <c r="F164" s="303"/>
      <c r="G164" s="303"/>
    </row>
    <row r="165" spans="1:4" ht="17.25" hidden="1" thickBot="1" thickTop="1">
      <c r="A165" s="29"/>
      <c r="B165" s="29"/>
      <c r="C165" s="57"/>
      <c r="D165" s="15"/>
    </row>
    <row r="166" spans="1:4" ht="17.25" hidden="1" thickBot="1" thickTop="1">
      <c r="A166" s="45"/>
      <c r="B166" s="45"/>
      <c r="C166" s="50"/>
      <c r="D166" s="20"/>
    </row>
    <row r="167" spans="1:4" ht="17.25" hidden="1" thickBot="1" thickTop="1">
      <c r="A167" s="36"/>
      <c r="B167" s="36"/>
      <c r="C167" s="50"/>
      <c r="D167" s="13"/>
    </row>
    <row r="168" spans="1:4" ht="17.25" hidden="1" thickBot="1" thickTop="1">
      <c r="A168" s="60"/>
      <c r="B168" s="60"/>
      <c r="C168" s="61"/>
      <c r="D168" s="60"/>
    </row>
    <row r="169" spans="1:12" ht="17.25" hidden="1" thickBot="1" thickTop="1">
      <c r="A169" s="31"/>
      <c r="B169" s="31"/>
      <c r="C169" s="28"/>
      <c r="D169" s="140"/>
      <c r="F169" s="131"/>
      <c r="G169" s="131"/>
      <c r="H169" s="131"/>
      <c r="K169" s="131"/>
      <c r="L169" s="131"/>
    </row>
    <row r="170" spans="2:12" ht="17.25" hidden="1" thickBot="1" thickTop="1">
      <c r="B170" s="681"/>
      <c r="C170" s="682"/>
      <c r="D170" s="682"/>
      <c r="F170" s="131"/>
      <c r="G170" s="131"/>
      <c r="H170" s="131"/>
      <c r="K170" s="131"/>
      <c r="L170" s="131"/>
    </row>
    <row r="171" spans="1:12" ht="17.25" hidden="1" thickBot="1" thickTop="1">
      <c r="A171" s="36"/>
      <c r="B171" s="36"/>
      <c r="C171" s="50"/>
      <c r="D171" s="293"/>
      <c r="F171" s="131"/>
      <c r="G171" s="131"/>
      <c r="H171" s="131"/>
      <c r="K171" s="131"/>
      <c r="L171" s="131"/>
    </row>
    <row r="172" spans="1:12" ht="17.25" hidden="1" thickBot="1" thickTop="1">
      <c r="A172" s="36"/>
      <c r="B172" s="36"/>
      <c r="C172" s="50"/>
      <c r="D172" s="13"/>
      <c r="F172" s="131"/>
      <c r="G172" s="131"/>
      <c r="H172" s="131"/>
      <c r="K172" s="131"/>
      <c r="L172" s="131"/>
    </row>
    <row r="173" spans="1:12" ht="17.25" hidden="1" thickBot="1" thickTop="1">
      <c r="A173" s="29"/>
      <c r="B173" s="29"/>
      <c r="C173" s="57"/>
      <c r="D173" s="15"/>
      <c r="F173" s="131"/>
      <c r="G173" s="131"/>
      <c r="H173" s="131"/>
      <c r="K173" s="131"/>
      <c r="L173" s="131"/>
    </row>
    <row r="174" spans="1:12" ht="17.25" hidden="1" thickBot="1" thickTop="1">
      <c r="A174" s="36"/>
      <c r="B174" s="36"/>
      <c r="C174" s="50"/>
      <c r="D174" s="13"/>
      <c r="F174" s="131"/>
      <c r="G174" s="131"/>
      <c r="H174" s="131"/>
      <c r="K174" s="131"/>
      <c r="L174" s="131"/>
    </row>
    <row r="175" spans="1:12" ht="17.25" hidden="1" thickBot="1" thickTop="1">
      <c r="A175" s="38"/>
      <c r="B175" s="38"/>
      <c r="C175" s="52"/>
      <c r="D175" s="60"/>
      <c r="F175" s="131"/>
      <c r="G175" s="131"/>
      <c r="H175" s="131"/>
      <c r="K175" s="131"/>
      <c r="L175" s="131"/>
    </row>
    <row r="176" spans="1:12" ht="17.25" hidden="1" thickBot="1" thickTop="1">
      <c r="A176" s="40"/>
      <c r="B176" s="40"/>
      <c r="C176" s="53"/>
      <c r="D176" s="145"/>
      <c r="E176" s="292"/>
      <c r="F176" s="131"/>
      <c r="G176" s="131"/>
      <c r="H176" s="131"/>
      <c r="K176" s="131"/>
      <c r="L176" s="131"/>
    </row>
    <row r="177" spans="1:12" ht="17.25" customHeight="1" thickBot="1" thickTop="1">
      <c r="A177" s="682" t="s">
        <v>248</v>
      </c>
      <c r="B177" s="682"/>
      <c r="C177" s="682"/>
      <c r="D177" s="682"/>
      <c r="F177" s="131"/>
      <c r="G177" s="131"/>
      <c r="H177" s="131"/>
      <c r="K177" s="131"/>
      <c r="L177" s="131"/>
    </row>
    <row r="178" spans="1:12" ht="16.5" thickTop="1">
      <c r="A178" s="36">
        <v>52</v>
      </c>
      <c r="B178" s="36"/>
      <c r="C178" s="50" t="s">
        <v>2</v>
      </c>
      <c r="D178" s="293">
        <f>5+7</f>
        <v>12</v>
      </c>
      <c r="F178" s="131"/>
      <c r="G178" s="131"/>
      <c r="H178" s="131"/>
      <c r="K178" s="131"/>
      <c r="L178" s="131"/>
    </row>
    <row r="179" spans="1:12" ht="16.5" thickBot="1">
      <c r="A179" s="40"/>
      <c r="B179" s="40"/>
      <c r="C179" s="53" t="s">
        <v>7</v>
      </c>
      <c r="D179" s="145">
        <f>SUM(D178:D178)</f>
        <v>12</v>
      </c>
      <c r="F179" s="131"/>
      <c r="G179" s="131"/>
      <c r="H179" s="131"/>
      <c r="K179" s="131"/>
      <c r="L179" s="131"/>
    </row>
    <row r="180" spans="1:12" ht="17.25" customHeight="1" hidden="1" thickBot="1" thickTop="1">
      <c r="A180" s="682" t="s">
        <v>292</v>
      </c>
      <c r="B180" s="682"/>
      <c r="C180" s="682"/>
      <c r="D180" s="682"/>
      <c r="F180" s="131"/>
      <c r="G180" s="131"/>
      <c r="H180" s="131"/>
      <c r="K180" s="131"/>
      <c r="L180" s="131"/>
    </row>
    <row r="181" spans="1:12" ht="17.25" hidden="1" thickBot="1" thickTop="1">
      <c r="A181" s="36">
        <v>30</v>
      </c>
      <c r="B181" s="36"/>
      <c r="C181" s="399" t="s">
        <v>71</v>
      </c>
      <c r="D181" s="13"/>
      <c r="F181" s="131"/>
      <c r="G181" s="131"/>
      <c r="H181" s="131"/>
      <c r="K181" s="131"/>
      <c r="L181" s="131"/>
    </row>
    <row r="182" spans="1:12" ht="17.25" hidden="1" thickBot="1" thickTop="1">
      <c r="A182" s="40"/>
      <c r="B182" s="40"/>
      <c r="C182" s="53" t="s">
        <v>7</v>
      </c>
      <c r="D182" s="145">
        <f>D181</f>
        <v>0</v>
      </c>
      <c r="F182" s="131"/>
      <c r="G182" s="131"/>
      <c r="H182" s="131"/>
      <c r="K182" s="131"/>
      <c r="L182" s="131"/>
    </row>
    <row r="183" spans="1:12" ht="32.25" customHeight="1" thickBot="1" thickTop="1">
      <c r="A183" s="682" t="s">
        <v>370</v>
      </c>
      <c r="B183" s="682"/>
      <c r="C183" s="682"/>
      <c r="D183" s="682"/>
      <c r="F183" s="131"/>
      <c r="G183" s="131"/>
      <c r="H183" s="131"/>
      <c r="K183" s="131"/>
      <c r="L183" s="131"/>
    </row>
    <row r="184" spans="1:12" ht="32.25" thickTop="1">
      <c r="A184" s="21"/>
      <c r="B184" s="21"/>
      <c r="C184" s="22" t="s">
        <v>175</v>
      </c>
      <c r="D184" s="471">
        <v>1780</v>
      </c>
      <c r="F184" s="131"/>
      <c r="G184" s="131"/>
      <c r="H184" s="131"/>
      <c r="K184" s="131"/>
      <c r="L184" s="131"/>
    </row>
    <row r="185" spans="1:12" ht="15.75">
      <c r="A185" s="163"/>
      <c r="B185" s="163"/>
      <c r="C185" s="158" t="s">
        <v>169</v>
      </c>
      <c r="D185" s="472">
        <v>53</v>
      </c>
      <c r="F185" s="131"/>
      <c r="G185" s="131"/>
      <c r="H185" s="131"/>
      <c r="K185" s="131"/>
      <c r="L185" s="131"/>
    </row>
    <row r="186" spans="1:12" ht="16.5" thickBot="1">
      <c r="A186" s="40"/>
      <c r="B186" s="40"/>
      <c r="C186" s="121" t="s">
        <v>174</v>
      </c>
      <c r="D186" s="473">
        <v>130</v>
      </c>
      <c r="F186" s="131"/>
      <c r="G186" s="131"/>
      <c r="H186" s="131"/>
      <c r="K186" s="131"/>
      <c r="L186" s="131"/>
    </row>
    <row r="187" spans="1:8" ht="16.5" thickTop="1">
      <c r="A187" s="33"/>
      <c r="B187" s="33"/>
      <c r="C187" s="22" t="s">
        <v>173</v>
      </c>
      <c r="D187" s="130">
        <f>D169+D158+D144+D133+D123+D113+D102+D93+D90+D83+D67+D59+D176+D184+D179+D182</f>
        <v>22867</v>
      </c>
      <c r="E187" s="289">
        <f>22137+730</f>
        <v>22867</v>
      </c>
      <c r="F187" s="131">
        <f>E187-D187</f>
        <v>0</v>
      </c>
      <c r="G187" s="131"/>
      <c r="H187" s="131"/>
    </row>
    <row r="188" spans="1:8" ht="15.75">
      <c r="A188" s="63"/>
      <c r="B188" s="63"/>
      <c r="C188" s="158" t="s">
        <v>169</v>
      </c>
      <c r="D188" s="150">
        <f>D68+D60+D185</f>
        <v>1157</v>
      </c>
      <c r="E188" s="131">
        <v>1157</v>
      </c>
      <c r="F188" s="131">
        <f>E188-D188</f>
        <v>0</v>
      </c>
      <c r="G188" s="131"/>
      <c r="H188" s="131"/>
    </row>
    <row r="189" spans="1:8" ht="15.75">
      <c r="A189" s="63"/>
      <c r="B189" s="63"/>
      <c r="C189" s="64" t="s">
        <v>174</v>
      </c>
      <c r="D189" s="151">
        <f>D153+D154+D111+D75+D31+D186+D181+D32+D33</f>
        <v>730</v>
      </c>
      <c r="E189" s="131">
        <v>730</v>
      </c>
      <c r="F189" s="131">
        <f>E189-D189</f>
        <v>0</v>
      </c>
      <c r="G189" s="131"/>
      <c r="H189" s="131"/>
    </row>
    <row r="190" spans="1:10" ht="16.5" thickBot="1">
      <c r="A190" s="23"/>
      <c r="B190" s="23"/>
      <c r="C190" s="121" t="s">
        <v>168</v>
      </c>
      <c r="D190" s="152">
        <f>D61</f>
        <v>460</v>
      </c>
      <c r="E190" s="131"/>
      <c r="F190" s="131"/>
      <c r="G190" s="131"/>
      <c r="H190" s="131"/>
      <c r="I190" s="131"/>
      <c r="J190" s="131"/>
    </row>
    <row r="191" spans="1:6" s="154" customFormat="1" ht="16.5" thickTop="1">
      <c r="A191" s="65"/>
      <c r="B191" s="65"/>
      <c r="C191" s="66"/>
      <c r="D191" s="65"/>
      <c r="E191" s="65"/>
      <c r="F191" s="153"/>
    </row>
    <row r="192" spans="1:6" s="154" customFormat="1" ht="15.75">
      <c r="A192" s="65"/>
      <c r="B192" s="65"/>
      <c r="C192" s="9" t="s">
        <v>62</v>
      </c>
      <c r="D192" s="168">
        <f>D85</f>
        <v>104</v>
      </c>
      <c r="E192" s="65"/>
      <c r="F192" s="153"/>
    </row>
    <row r="193" spans="1:5" ht="15.75">
      <c r="A193" s="67"/>
      <c r="B193" s="67"/>
      <c r="C193" s="9" t="s">
        <v>231</v>
      </c>
      <c r="D193" s="168">
        <f>D8+D9+D10+D86+D87+D88</f>
        <v>3956</v>
      </c>
      <c r="E193" s="65"/>
    </row>
    <row r="194" spans="1:5" ht="15.75">
      <c r="A194" s="67"/>
      <c r="B194" s="67"/>
      <c r="C194" s="9" t="s">
        <v>15</v>
      </c>
      <c r="D194" s="168">
        <f>D11</f>
        <v>369</v>
      </c>
      <c r="E194" s="65"/>
    </row>
    <row r="195" spans="1:5" ht="15.75">
      <c r="A195" s="67"/>
      <c r="B195" s="67"/>
      <c r="C195" s="9" t="s">
        <v>16</v>
      </c>
      <c r="D195" s="168">
        <f>D12</f>
        <v>186</v>
      </c>
      <c r="E195" s="65"/>
    </row>
    <row r="196" spans="1:4" ht="15.75">
      <c r="A196" s="68"/>
      <c r="B196" s="68"/>
      <c r="C196" s="9" t="s">
        <v>84</v>
      </c>
      <c r="D196" s="168">
        <f>D13</f>
        <v>39</v>
      </c>
    </row>
    <row r="197" spans="1:4" ht="15.75">
      <c r="A197" s="67"/>
      <c r="B197" s="67"/>
      <c r="C197" s="9" t="s">
        <v>50</v>
      </c>
      <c r="D197" s="168">
        <f>D14+D15</f>
        <v>306</v>
      </c>
    </row>
    <row r="198" spans="1:4" ht="15.75">
      <c r="A198" s="155"/>
      <c r="B198" s="155"/>
      <c r="C198" s="9" t="s">
        <v>28</v>
      </c>
      <c r="D198" s="168">
        <f>D16+D17+D74</f>
        <v>2457</v>
      </c>
    </row>
    <row r="199" spans="1:4" ht="15.75">
      <c r="A199" s="155"/>
      <c r="B199" s="155"/>
      <c r="C199" s="9" t="s">
        <v>17</v>
      </c>
      <c r="D199" s="168">
        <f>D18+D71</f>
        <v>962</v>
      </c>
    </row>
    <row r="200" spans="1:4" ht="15.75">
      <c r="A200" s="156"/>
      <c r="B200" s="156"/>
      <c r="C200" s="9" t="s">
        <v>71</v>
      </c>
      <c r="D200" s="168">
        <f>D181+D31+D75+D32+D33</f>
        <v>600</v>
      </c>
    </row>
    <row r="201" spans="1:4" ht="15.75">
      <c r="A201" s="156"/>
      <c r="B201" s="156"/>
      <c r="C201" s="9" t="s">
        <v>26</v>
      </c>
      <c r="D201" s="168">
        <f>D34+D76</f>
        <v>926</v>
      </c>
    </row>
    <row r="202" spans="1:4" ht="15.75">
      <c r="A202" s="156"/>
      <c r="B202" s="156"/>
      <c r="C202" s="9" t="s">
        <v>37</v>
      </c>
      <c r="D202" s="168">
        <f>D35+D77</f>
        <v>381</v>
      </c>
    </row>
    <row r="203" spans="1:4" ht="15.75">
      <c r="A203" s="156"/>
      <c r="B203" s="156"/>
      <c r="C203" s="9" t="s">
        <v>18</v>
      </c>
      <c r="D203" s="168">
        <f>D36</f>
        <v>394</v>
      </c>
    </row>
    <row r="204" spans="1:4" ht="15.75">
      <c r="A204" s="156"/>
      <c r="B204" s="156"/>
      <c r="C204" s="9" t="s">
        <v>66</v>
      </c>
      <c r="D204" s="168">
        <f>D79+D89</f>
        <v>425</v>
      </c>
    </row>
    <row r="205" spans="1:4" ht="15.75">
      <c r="A205" s="156"/>
      <c r="B205" s="156"/>
      <c r="C205" s="9" t="s">
        <v>232</v>
      </c>
      <c r="D205" s="168">
        <f>D37+D38+D39</f>
        <v>1104</v>
      </c>
    </row>
    <row r="206" spans="1:4" ht="15.75">
      <c r="A206" s="156"/>
      <c r="B206" s="156"/>
      <c r="C206" s="9" t="s">
        <v>354</v>
      </c>
      <c r="D206" s="168">
        <f>D40</f>
        <v>376</v>
      </c>
    </row>
    <row r="207" spans="1:4" ht="15.75">
      <c r="A207" s="156"/>
      <c r="B207" s="156"/>
      <c r="C207" s="9" t="s">
        <v>19</v>
      </c>
      <c r="D207" s="168">
        <f>D41+D178</f>
        <v>457</v>
      </c>
    </row>
    <row r="208" spans="1:4" ht="15.75">
      <c r="A208" s="156"/>
      <c r="B208" s="156"/>
      <c r="C208" s="9" t="s">
        <v>24</v>
      </c>
      <c r="D208" s="168">
        <f>D42+D80</f>
        <v>1128</v>
      </c>
    </row>
    <row r="209" spans="1:4" ht="15.75">
      <c r="A209" s="156"/>
      <c r="B209" s="156"/>
      <c r="C209" s="9" t="s">
        <v>20</v>
      </c>
      <c r="D209" s="168">
        <f>D43+D78</f>
        <v>536</v>
      </c>
    </row>
    <row r="210" spans="1:4" ht="15.75">
      <c r="A210" s="156"/>
      <c r="B210" s="156"/>
      <c r="C210" s="9" t="s">
        <v>52</v>
      </c>
      <c r="D210" s="168">
        <f>D44</f>
        <v>15</v>
      </c>
    </row>
    <row r="211" spans="1:4" ht="15.75">
      <c r="A211" s="156"/>
      <c r="B211" s="156"/>
      <c r="C211" s="9" t="s">
        <v>27</v>
      </c>
      <c r="D211" s="168">
        <f>D45</f>
        <v>266</v>
      </c>
    </row>
    <row r="212" spans="1:4" ht="15.75">
      <c r="A212" s="156"/>
      <c r="B212" s="156"/>
      <c r="C212" s="9" t="s">
        <v>21</v>
      </c>
      <c r="D212" s="168">
        <f>D46</f>
        <v>1536</v>
      </c>
    </row>
    <row r="213" spans="1:4" ht="15.75">
      <c r="A213" s="156"/>
      <c r="B213" s="156"/>
      <c r="C213" s="9" t="s">
        <v>67</v>
      </c>
      <c r="D213" s="168">
        <f>D47+D53+D81</f>
        <v>1132</v>
      </c>
    </row>
    <row r="214" spans="1:4" ht="15.75">
      <c r="A214" s="156"/>
      <c r="B214" s="156"/>
      <c r="C214" s="9" t="s">
        <v>49</v>
      </c>
      <c r="D214" s="168">
        <f>D54+D72</f>
        <v>645</v>
      </c>
    </row>
    <row r="215" spans="1:4" ht="15.75">
      <c r="A215" s="156"/>
      <c r="B215" s="156"/>
      <c r="C215" s="9" t="s">
        <v>29</v>
      </c>
      <c r="D215" s="168">
        <f>D55+D70</f>
        <v>2374</v>
      </c>
    </row>
    <row r="216" spans="1:4" ht="15.75">
      <c r="A216" s="156"/>
      <c r="B216" s="156"/>
      <c r="C216" s="9" t="s">
        <v>68</v>
      </c>
      <c r="D216" s="168">
        <f>D82+D56</f>
        <v>60</v>
      </c>
    </row>
    <row r="217" spans="1:4" ht="15.75">
      <c r="A217" s="156"/>
      <c r="B217" s="156"/>
      <c r="C217" s="9" t="s">
        <v>39</v>
      </c>
      <c r="D217" s="168">
        <f>D57</f>
        <v>100</v>
      </c>
    </row>
    <row r="218" spans="1:4" ht="15.75">
      <c r="A218" s="156"/>
      <c r="B218" s="156"/>
      <c r="C218" s="9" t="s">
        <v>22</v>
      </c>
      <c r="D218" s="168">
        <f>D58+D73</f>
        <v>253</v>
      </c>
    </row>
    <row r="219" spans="1:6" ht="15.75">
      <c r="A219" s="156"/>
      <c r="B219" s="156"/>
      <c r="C219" s="112" t="s">
        <v>233</v>
      </c>
      <c r="D219" s="202">
        <f>SUM(D192:D218)</f>
        <v>21087</v>
      </c>
      <c r="E219" s="289">
        <f>D187-D184</f>
        <v>21087</v>
      </c>
      <c r="F219" s="289">
        <f>E219-D219</f>
        <v>0</v>
      </c>
    </row>
    <row r="220" spans="1:4" ht="15">
      <c r="A220" s="156"/>
      <c r="B220" s="156"/>
      <c r="C220" s="156"/>
      <c r="D220" s="156"/>
    </row>
    <row r="221" spans="1:4" ht="15">
      <c r="A221" s="156"/>
      <c r="B221" s="156"/>
      <c r="C221" s="156"/>
      <c r="D221" s="156"/>
    </row>
    <row r="222" spans="1:4" ht="15">
      <c r="A222" s="156"/>
      <c r="B222" s="156"/>
      <c r="C222" s="156"/>
      <c r="D222" s="156"/>
    </row>
    <row r="223" spans="1:4" ht="15">
      <c r="A223" s="156"/>
      <c r="B223" s="156"/>
      <c r="C223" s="156"/>
      <c r="D223" s="156"/>
    </row>
    <row r="224" spans="1:4" ht="15">
      <c r="A224" s="156"/>
      <c r="B224" s="156"/>
      <c r="C224" s="156"/>
      <c r="D224" s="156"/>
    </row>
    <row r="225" spans="1:4" ht="15">
      <c r="A225" s="156"/>
      <c r="B225" s="156"/>
      <c r="C225" s="156"/>
      <c r="D225" s="156"/>
    </row>
    <row r="226" spans="1:4" ht="15">
      <c r="A226" s="156"/>
      <c r="B226" s="156"/>
      <c r="C226" s="156"/>
      <c r="D226" s="156"/>
    </row>
    <row r="227" spans="1:4" ht="15">
      <c r="A227" s="156"/>
      <c r="B227" s="156"/>
      <c r="C227" s="156"/>
      <c r="D227" s="156"/>
    </row>
    <row r="228" spans="1:4" ht="15">
      <c r="A228" s="156"/>
      <c r="B228" s="156"/>
      <c r="C228" s="156"/>
      <c r="D228" s="156"/>
    </row>
    <row r="229" spans="1:4" ht="15">
      <c r="A229" s="156"/>
      <c r="B229" s="156"/>
      <c r="C229" s="156"/>
      <c r="D229" s="156"/>
    </row>
    <row r="230" spans="1:4" ht="15">
      <c r="A230" s="156"/>
      <c r="B230" s="156"/>
      <c r="C230" s="156"/>
      <c r="D230" s="156"/>
    </row>
    <row r="231" spans="1:4" ht="15">
      <c r="A231" s="156"/>
      <c r="B231" s="156"/>
      <c r="C231" s="156"/>
      <c r="D231" s="156"/>
    </row>
    <row r="232" spans="1:4" ht="15">
      <c r="A232" s="156"/>
      <c r="B232" s="156"/>
      <c r="C232" s="156"/>
      <c r="D232" s="156"/>
    </row>
    <row r="233" spans="1:4" ht="15">
      <c r="A233" s="156"/>
      <c r="B233" s="156"/>
      <c r="C233" s="156"/>
      <c r="D233" s="156"/>
    </row>
    <row r="234" spans="1:4" ht="15">
      <c r="A234" s="156"/>
      <c r="B234" s="156"/>
      <c r="C234" s="156"/>
      <c r="D234" s="156"/>
    </row>
    <row r="235" spans="1:4" ht="15">
      <c r="A235" s="156"/>
      <c r="B235" s="156"/>
      <c r="C235" s="156"/>
      <c r="D235" s="156"/>
    </row>
    <row r="236" spans="1:4" ht="15">
      <c r="A236" s="156"/>
      <c r="B236" s="156"/>
      <c r="C236" s="156"/>
      <c r="D236" s="156"/>
    </row>
  </sheetData>
  <sheetProtection/>
  <mergeCells count="20">
    <mergeCell ref="B170:D170"/>
    <mergeCell ref="A183:D183"/>
    <mergeCell ref="A49:A51"/>
    <mergeCell ref="A7:D7"/>
    <mergeCell ref="A69:D69"/>
    <mergeCell ref="A84:D84"/>
    <mergeCell ref="A177:D177"/>
    <mergeCell ref="A180:D180"/>
    <mergeCell ref="D49:D51"/>
    <mergeCell ref="B103:D103"/>
    <mergeCell ref="B4:D4"/>
    <mergeCell ref="B124:D124"/>
    <mergeCell ref="B145:D145"/>
    <mergeCell ref="B62:D62"/>
    <mergeCell ref="B94:D94"/>
    <mergeCell ref="B159:D159"/>
    <mergeCell ref="B134:D134"/>
    <mergeCell ref="B91:D91"/>
    <mergeCell ref="B49:B51"/>
    <mergeCell ref="B114:D114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T204"/>
  <sheetViews>
    <sheetView view="pageBreakPreview" zoomScale="85" zoomScaleSheetLayoutView="85" zoomScalePageLayoutView="0" workbookViewId="0" topLeftCell="A1">
      <pane ySplit="8" topLeftCell="A18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8.7109375" style="126" customWidth="1"/>
    <col min="2" max="2" width="35.8515625" style="126" customWidth="1"/>
    <col min="3" max="3" width="14.7109375" style="126" customWidth="1"/>
    <col min="4" max="4" width="17.421875" style="126" customWidth="1"/>
    <col min="5" max="5" width="14.7109375" style="126" customWidth="1"/>
    <col min="6" max="6" width="21.140625" style="164" customWidth="1"/>
    <col min="7" max="7" width="9.140625" style="126" customWidth="1"/>
    <col min="8" max="8" width="15.00390625" style="126" customWidth="1"/>
    <col min="9" max="9" width="12.7109375" style="126" bestFit="1" customWidth="1"/>
    <col min="10" max="19" width="9.140625" style="126" customWidth="1"/>
    <col min="20" max="20" width="11.421875" style="126" customWidth="1"/>
    <col min="21" max="16384" width="9.140625" style="126" customWidth="1"/>
  </cols>
  <sheetData>
    <row r="1" ht="15.75">
      <c r="F1" s="408" t="s">
        <v>295</v>
      </c>
    </row>
    <row r="3" spans="1:6" s="124" customFormat="1" ht="46.5" customHeight="1">
      <c r="A3" s="689" t="str">
        <f>'1. АМП'!A5:E5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89"/>
      <c r="C3" s="689"/>
      <c r="D3" s="689"/>
      <c r="E3" s="689"/>
      <c r="F3" s="689"/>
    </row>
    <row r="4" spans="1:6" s="124" customFormat="1" ht="19.5" customHeight="1">
      <c r="A4" s="125"/>
      <c r="B4" s="125"/>
      <c r="C4" s="125"/>
      <c r="D4" s="125"/>
      <c r="E4" s="125"/>
      <c r="F4" s="125"/>
    </row>
    <row r="5" spans="1:6" s="124" customFormat="1" ht="22.5" customHeight="1">
      <c r="A5" s="690" t="s">
        <v>300</v>
      </c>
      <c r="B5" s="690"/>
      <c r="C5" s="690"/>
      <c r="D5" s="690"/>
      <c r="E5" s="690"/>
      <c r="F5" s="690"/>
    </row>
    <row r="6" ht="16.5" thickBot="1"/>
    <row r="7" spans="1:6" ht="20.25" customHeight="1" thickTop="1">
      <c r="A7" s="691" t="s">
        <v>353</v>
      </c>
      <c r="B7" s="693" t="s">
        <v>85</v>
      </c>
      <c r="C7" s="697" t="s">
        <v>179</v>
      </c>
      <c r="D7" s="698"/>
      <c r="E7" s="698"/>
      <c r="F7" s="695" t="s">
        <v>180</v>
      </c>
    </row>
    <row r="8" spans="1:6" ht="67.5" customHeight="1" thickBot="1">
      <c r="A8" s="692"/>
      <c r="B8" s="694"/>
      <c r="C8" s="165" t="s">
        <v>176</v>
      </c>
      <c r="D8" s="166" t="s">
        <v>177</v>
      </c>
      <c r="E8" s="201" t="s">
        <v>178</v>
      </c>
      <c r="F8" s="696"/>
    </row>
    <row r="9" spans="1:6" ht="21.75" customHeight="1" thickBot="1" thickTop="1">
      <c r="A9" s="681" t="s">
        <v>250</v>
      </c>
      <c r="B9" s="682"/>
      <c r="C9" s="682"/>
      <c r="D9" s="682"/>
      <c r="E9" s="682"/>
      <c r="F9" s="682"/>
    </row>
    <row r="10" spans="1:6" ht="33.75" customHeight="1" thickTop="1">
      <c r="A10" s="36">
        <v>6</v>
      </c>
      <c r="B10" s="14" t="s">
        <v>229</v>
      </c>
      <c r="C10" s="401">
        <v>321</v>
      </c>
      <c r="D10" s="296"/>
      <c r="E10" s="296"/>
      <c r="F10" s="202">
        <f>C10+D10+E10</f>
        <v>321</v>
      </c>
    </row>
    <row r="11" spans="1:6" ht="30.75" customHeight="1">
      <c r="A11" s="36">
        <v>5</v>
      </c>
      <c r="B11" s="14" t="s">
        <v>228</v>
      </c>
      <c r="C11" s="469">
        <v>0</v>
      </c>
      <c r="D11" s="296"/>
      <c r="E11" s="296"/>
      <c r="F11" s="202">
        <f>C11+D11+E11</f>
        <v>0</v>
      </c>
    </row>
    <row r="12" spans="1:17" ht="15.75">
      <c r="A12" s="36">
        <v>15</v>
      </c>
      <c r="B12" s="14" t="s">
        <v>16</v>
      </c>
      <c r="C12" s="599">
        <v>59</v>
      </c>
      <c r="D12" s="296"/>
      <c r="E12" s="296"/>
      <c r="F12" s="202">
        <f>C12+D12+E12</f>
        <v>59</v>
      </c>
      <c r="Q12" s="126" t="s">
        <v>59</v>
      </c>
    </row>
    <row r="13" spans="1:6" ht="15.75">
      <c r="A13" s="36">
        <v>15</v>
      </c>
      <c r="B13" s="397" t="s">
        <v>290</v>
      </c>
      <c r="C13" s="402">
        <v>7</v>
      </c>
      <c r="D13" s="296"/>
      <c r="E13" s="296"/>
      <c r="F13" s="202">
        <f>C13+D13+E13</f>
        <v>7</v>
      </c>
    </row>
    <row r="14" spans="1:6" ht="15.75">
      <c r="A14" s="36">
        <v>17</v>
      </c>
      <c r="B14" s="14" t="s">
        <v>50</v>
      </c>
      <c r="C14" s="401">
        <v>160</v>
      </c>
      <c r="D14" s="296"/>
      <c r="E14" s="296"/>
      <c r="F14" s="116">
        <f aca="true" t="shared" si="0" ref="F14:F32">C14+D14+E14</f>
        <v>160</v>
      </c>
    </row>
    <row r="15" spans="1:6" ht="18.75" customHeight="1">
      <c r="A15" s="36">
        <v>17</v>
      </c>
      <c r="B15" s="14" t="s">
        <v>53</v>
      </c>
      <c r="C15" s="401">
        <v>41</v>
      </c>
      <c r="D15" s="296"/>
      <c r="E15" s="296"/>
      <c r="F15" s="116">
        <f t="shared" si="0"/>
        <v>41</v>
      </c>
    </row>
    <row r="16" spans="1:6" ht="16.5" thickTop="1">
      <c r="A16" s="36">
        <v>26</v>
      </c>
      <c r="B16" s="16" t="s">
        <v>17</v>
      </c>
      <c r="C16" s="478">
        <v>70</v>
      </c>
      <c r="D16" s="298"/>
      <c r="E16" s="298"/>
      <c r="F16" s="169">
        <f t="shared" si="0"/>
        <v>70</v>
      </c>
    </row>
    <row r="17" spans="1:6" ht="15.75">
      <c r="A17" s="36">
        <v>30</v>
      </c>
      <c r="B17" s="14" t="s">
        <v>71</v>
      </c>
      <c r="C17" s="401">
        <v>0</v>
      </c>
      <c r="D17" s="296"/>
      <c r="E17" s="296"/>
      <c r="F17" s="116">
        <f t="shared" si="0"/>
        <v>0</v>
      </c>
    </row>
    <row r="18" spans="1:6" ht="15.75">
      <c r="A18" s="36">
        <v>30</v>
      </c>
      <c r="B18" s="14" t="s">
        <v>291</v>
      </c>
      <c r="C18" s="401">
        <v>0</v>
      </c>
      <c r="D18" s="296"/>
      <c r="E18" s="296"/>
      <c r="F18" s="116">
        <f t="shared" si="0"/>
        <v>0</v>
      </c>
    </row>
    <row r="19" spans="1:7" ht="15.75">
      <c r="A19" s="36">
        <v>34</v>
      </c>
      <c r="B19" s="14" t="s">
        <v>26</v>
      </c>
      <c r="C19" s="599">
        <v>169</v>
      </c>
      <c r="D19" s="296"/>
      <c r="E19" s="296"/>
      <c r="F19" s="116">
        <f t="shared" si="0"/>
        <v>169</v>
      </c>
      <c r="G19" s="129"/>
    </row>
    <row r="20" spans="1:9" ht="16.5" thickTop="1">
      <c r="A20" s="36">
        <v>41</v>
      </c>
      <c r="B20" s="14" t="s">
        <v>18</v>
      </c>
      <c r="C20" s="401">
        <v>143</v>
      </c>
      <c r="D20" s="296"/>
      <c r="E20" s="296"/>
      <c r="F20" s="116">
        <f t="shared" si="0"/>
        <v>143</v>
      </c>
      <c r="I20" s="67"/>
    </row>
    <row r="21" spans="1:9" ht="16.5" thickTop="1">
      <c r="A21" s="36">
        <v>42</v>
      </c>
      <c r="B21" s="14" t="s">
        <v>81</v>
      </c>
      <c r="C21" s="401">
        <v>170</v>
      </c>
      <c r="D21" s="296"/>
      <c r="E21" s="296"/>
      <c r="F21" s="116">
        <f t="shared" si="0"/>
        <v>170</v>
      </c>
      <c r="I21" s="67"/>
    </row>
    <row r="22" spans="1:9" ht="32.25" thickTop="1">
      <c r="A22" s="36">
        <f>A21</f>
        <v>42</v>
      </c>
      <c r="B22" s="14" t="s">
        <v>82</v>
      </c>
      <c r="C22" s="344">
        <f>822+36</f>
        <v>858</v>
      </c>
      <c r="D22" s="296">
        <f>10</f>
        <v>10</v>
      </c>
      <c r="E22" s="296"/>
      <c r="F22" s="116">
        <f t="shared" si="0"/>
        <v>868</v>
      </c>
      <c r="I22" s="67"/>
    </row>
    <row r="23" spans="1:9" ht="32.25" thickTop="1">
      <c r="A23" s="36">
        <f>A21</f>
        <v>42</v>
      </c>
      <c r="B23" s="14" t="s">
        <v>181</v>
      </c>
      <c r="C23" s="401">
        <v>340</v>
      </c>
      <c r="D23" s="296"/>
      <c r="E23" s="296"/>
      <c r="F23" s="116">
        <f t="shared" si="0"/>
        <v>340</v>
      </c>
      <c r="I23" s="67"/>
    </row>
    <row r="24" spans="1:6" ht="16.5" thickTop="1">
      <c r="A24" s="36">
        <v>50</v>
      </c>
      <c r="B24" s="14" t="s">
        <v>354</v>
      </c>
      <c r="C24" s="401">
        <v>150</v>
      </c>
      <c r="D24" s="296"/>
      <c r="E24" s="296"/>
      <c r="F24" s="116">
        <f t="shared" si="0"/>
        <v>150</v>
      </c>
    </row>
    <row r="25" spans="1:6" ht="16.5" thickTop="1">
      <c r="A25" s="36">
        <v>52</v>
      </c>
      <c r="B25" s="14" t="s">
        <v>19</v>
      </c>
      <c r="C25" s="401">
        <v>120</v>
      </c>
      <c r="D25" s="296"/>
      <c r="E25" s="296"/>
      <c r="F25" s="347">
        <f t="shared" si="0"/>
        <v>120</v>
      </c>
    </row>
    <row r="26" spans="1:6" ht="15.75">
      <c r="A26" s="36">
        <v>55</v>
      </c>
      <c r="B26" s="14" t="s">
        <v>24</v>
      </c>
      <c r="C26" s="598">
        <v>111</v>
      </c>
      <c r="D26" s="296">
        <v>30</v>
      </c>
      <c r="E26" s="296">
        <v>76</v>
      </c>
      <c r="F26" s="395">
        <f t="shared" si="0"/>
        <v>217</v>
      </c>
    </row>
    <row r="27" spans="1:6" ht="15.75">
      <c r="A27" s="36">
        <v>65</v>
      </c>
      <c r="B27" s="14" t="s">
        <v>52</v>
      </c>
      <c r="C27" s="598">
        <v>50</v>
      </c>
      <c r="D27" s="296"/>
      <c r="E27" s="296"/>
      <c r="F27" s="417">
        <f t="shared" si="0"/>
        <v>50</v>
      </c>
    </row>
    <row r="28" spans="1:6" ht="15.75">
      <c r="A28" s="36">
        <v>67</v>
      </c>
      <c r="B28" s="14" t="s">
        <v>27</v>
      </c>
      <c r="C28" s="293">
        <v>48</v>
      </c>
      <c r="D28" s="296"/>
      <c r="E28" s="296"/>
      <c r="F28" s="347">
        <f t="shared" si="0"/>
        <v>48</v>
      </c>
    </row>
    <row r="29" spans="1:6" ht="15.75">
      <c r="A29" s="36">
        <v>71</v>
      </c>
      <c r="B29" s="14" t="s">
        <v>21</v>
      </c>
      <c r="C29" s="598">
        <v>434</v>
      </c>
      <c r="D29" s="600">
        <v>478</v>
      </c>
      <c r="E29" s="296">
        <v>130</v>
      </c>
      <c r="F29" s="398">
        <f>C29+D29+E29</f>
        <v>1042</v>
      </c>
    </row>
    <row r="30" spans="1:7" ht="34.5" customHeight="1">
      <c r="A30" s="36">
        <v>74</v>
      </c>
      <c r="B30" s="17" t="s">
        <v>86</v>
      </c>
      <c r="C30" s="401">
        <f>109</f>
        <v>109</v>
      </c>
      <c r="D30" s="296"/>
      <c r="E30" s="296"/>
      <c r="F30" s="347">
        <f t="shared" si="0"/>
        <v>109</v>
      </c>
      <c r="G30" s="129"/>
    </row>
    <row r="31" spans="1:6" ht="16.5" thickTop="1">
      <c r="A31" s="36">
        <v>77</v>
      </c>
      <c r="B31" s="18" t="s">
        <v>49</v>
      </c>
      <c r="C31" s="401">
        <v>110</v>
      </c>
      <c r="D31" s="296"/>
      <c r="E31" s="296"/>
      <c r="F31" s="116">
        <f t="shared" si="0"/>
        <v>110</v>
      </c>
    </row>
    <row r="32" spans="1:7" ht="16.5" thickTop="1">
      <c r="A32" s="36">
        <v>80</v>
      </c>
      <c r="B32" s="18" t="s">
        <v>29</v>
      </c>
      <c r="C32" s="400">
        <f>302</f>
        <v>302</v>
      </c>
      <c r="D32" s="296"/>
      <c r="E32" s="296"/>
      <c r="F32" s="116">
        <f t="shared" si="0"/>
        <v>302</v>
      </c>
      <c r="G32" s="129"/>
    </row>
    <row r="33" spans="1:13" ht="16.5" thickTop="1">
      <c r="A33" s="21"/>
      <c r="B33" s="22" t="s">
        <v>61</v>
      </c>
      <c r="C33" s="403">
        <f>SUM(C10:C32)-C13</f>
        <v>3765</v>
      </c>
      <c r="D33" s="171">
        <f>SUM(D10:D32)-D13</f>
        <v>518</v>
      </c>
      <c r="E33" s="171">
        <f>SUM(E10:E32)-E13</f>
        <v>206</v>
      </c>
      <c r="F33" s="172">
        <f>SUM(F10:F32)-F13</f>
        <v>4489</v>
      </c>
      <c r="G33" s="131"/>
      <c r="H33" s="132"/>
      <c r="I33" s="132"/>
      <c r="J33" s="132"/>
      <c r="K33" s="133"/>
      <c r="L33" s="133"/>
      <c r="M33" s="133"/>
    </row>
    <row r="34" spans="1:13" ht="32.25" thickBot="1">
      <c r="A34" s="27"/>
      <c r="B34" s="158" t="s">
        <v>169</v>
      </c>
      <c r="C34" s="204">
        <f>C22+C21+C23+C13</f>
        <v>1375</v>
      </c>
      <c r="D34" s="204">
        <f>D22+D21+D23</f>
        <v>10</v>
      </c>
      <c r="E34" s="204">
        <f>E22+E21+E23</f>
        <v>0</v>
      </c>
      <c r="F34" s="205">
        <f>C34+D34+E34</f>
        <v>1385</v>
      </c>
      <c r="G34" s="131"/>
      <c r="H34" s="132"/>
      <c r="I34" s="132"/>
      <c r="J34" s="132"/>
      <c r="K34" s="133"/>
      <c r="L34" s="133"/>
      <c r="M34" s="133"/>
    </row>
    <row r="35" spans="1:13" ht="22.5" customHeight="1" hidden="1" thickBot="1" thickTop="1">
      <c r="A35" s="681"/>
      <c r="B35" s="682"/>
      <c r="C35" s="682"/>
      <c r="D35" s="682"/>
      <c r="E35" s="682"/>
      <c r="F35" s="682"/>
      <c r="H35" s="133"/>
      <c r="I35" s="133"/>
      <c r="J35" s="133"/>
      <c r="K35" s="133"/>
      <c r="L35" s="133"/>
      <c r="M35" s="133"/>
    </row>
    <row r="36" spans="1:13" ht="33.75" customHeight="1" hidden="1" thickTop="1">
      <c r="A36" s="24"/>
      <c r="B36" s="25"/>
      <c r="C36" s="24"/>
      <c r="D36" s="173"/>
      <c r="E36" s="173"/>
      <c r="F36" s="174"/>
      <c r="H36" s="133"/>
      <c r="I36" s="133"/>
      <c r="J36" s="133"/>
      <c r="K36" s="133"/>
      <c r="L36" s="133"/>
      <c r="M36" s="133"/>
    </row>
    <row r="37" spans="1:13" ht="33.75" customHeight="1" hidden="1">
      <c r="A37" s="15"/>
      <c r="B37" s="16"/>
      <c r="C37" s="15"/>
      <c r="D37" s="296"/>
      <c r="E37" s="175"/>
      <c r="F37" s="169"/>
      <c r="H37" s="133"/>
      <c r="I37" s="133"/>
      <c r="J37" s="133"/>
      <c r="K37" s="133"/>
      <c r="L37" s="133"/>
      <c r="M37" s="133"/>
    </row>
    <row r="38" spans="1:13" ht="17.25" hidden="1" thickBot="1" thickTop="1">
      <c r="A38" s="26"/>
      <c r="B38" s="14"/>
      <c r="C38" s="20"/>
      <c r="D38" s="8"/>
      <c r="E38" s="8"/>
      <c r="F38" s="116"/>
      <c r="H38" s="133"/>
      <c r="I38" s="133"/>
      <c r="J38" s="133"/>
      <c r="K38" s="133"/>
      <c r="L38" s="133"/>
      <c r="M38" s="133"/>
    </row>
    <row r="39" spans="1:13" ht="17.25" hidden="1" thickBot="1" thickTop="1">
      <c r="A39" s="27"/>
      <c r="B39" s="28"/>
      <c r="C39" s="140"/>
      <c r="D39" s="176"/>
      <c r="E39" s="176"/>
      <c r="F39" s="89"/>
      <c r="K39" s="133"/>
      <c r="L39" s="133"/>
      <c r="M39" s="133"/>
    </row>
    <row r="40" spans="1:13" ht="16.5" hidden="1" thickTop="1">
      <c r="A40" s="27"/>
      <c r="B40" s="158"/>
      <c r="C40" s="203"/>
      <c r="D40" s="204"/>
      <c r="E40" s="204"/>
      <c r="F40" s="205"/>
      <c r="G40" s="131"/>
      <c r="H40" s="132"/>
      <c r="I40" s="132"/>
      <c r="J40" s="132"/>
      <c r="K40" s="133"/>
      <c r="L40" s="133"/>
      <c r="M40" s="133"/>
    </row>
    <row r="41" spans="1:13" ht="17.25" thickBot="1" thickTop="1">
      <c r="A41" s="681" t="s">
        <v>246</v>
      </c>
      <c r="B41" s="682"/>
      <c r="C41" s="682"/>
      <c r="D41" s="682"/>
      <c r="E41" s="682"/>
      <c r="F41" s="682"/>
      <c r="H41" s="133"/>
      <c r="I41" s="133"/>
      <c r="J41" s="133"/>
      <c r="K41" s="133"/>
      <c r="L41" s="133"/>
      <c r="M41" s="133"/>
    </row>
    <row r="42" spans="1:9" ht="16.5" thickTop="1">
      <c r="A42" s="29">
        <v>34</v>
      </c>
      <c r="B42" s="30" t="s">
        <v>31</v>
      </c>
      <c r="C42" s="601">
        <v>95</v>
      </c>
      <c r="D42" s="168"/>
      <c r="E42" s="177"/>
      <c r="F42" s="169">
        <f>C42+D42+E42</f>
        <v>95</v>
      </c>
      <c r="G42" s="126">
        <f>C42-'[1]3. ДС'!C42</f>
        <v>29</v>
      </c>
      <c r="H42" s="126">
        <v>48293.16</v>
      </c>
      <c r="I42" s="126">
        <f>H42*G42</f>
        <v>1400501.6400000001</v>
      </c>
    </row>
    <row r="43" spans="1:20" ht="15.75">
      <c r="A43" s="29">
        <v>55</v>
      </c>
      <c r="B43" s="30" t="s">
        <v>24</v>
      </c>
      <c r="C43" s="601">
        <v>200</v>
      </c>
      <c r="D43" s="177"/>
      <c r="E43" s="177"/>
      <c r="F43" s="169">
        <f>C43+D43+E43</f>
        <v>200</v>
      </c>
      <c r="G43" s="126">
        <f>C43-'[1]3. ДС'!C43</f>
        <v>30</v>
      </c>
      <c r="H43" s="126">
        <v>20</v>
      </c>
      <c r="I43" s="126">
        <v>2</v>
      </c>
      <c r="J43" s="126">
        <v>5</v>
      </c>
      <c r="K43" s="126">
        <v>3</v>
      </c>
      <c r="L43" s="126">
        <v>46587.5</v>
      </c>
      <c r="M43" s="126">
        <v>46322.01</v>
      </c>
      <c r="N43" s="126">
        <v>44350.86</v>
      </c>
      <c r="O43" s="126">
        <v>51742.67</v>
      </c>
      <c r="P43" s="605">
        <f>H43*L43</f>
        <v>931750</v>
      </c>
      <c r="Q43" s="605">
        <f>M43*2</f>
        <v>92644.02</v>
      </c>
      <c r="R43" s="605">
        <f>N43*J43</f>
        <v>221754.3</v>
      </c>
      <c r="S43" s="605">
        <f>O43*K43</f>
        <v>155228.01</v>
      </c>
      <c r="T43" s="126">
        <f>SUM(P43:S43)</f>
        <v>1401376.33</v>
      </c>
    </row>
    <row r="44" spans="1:9" ht="16.5" thickBot="1">
      <c r="A44" s="63">
        <v>23</v>
      </c>
      <c r="B44" s="348" t="s">
        <v>22</v>
      </c>
      <c r="C44" s="602">
        <v>25</v>
      </c>
      <c r="D44" s="190"/>
      <c r="E44" s="190"/>
      <c r="F44" s="169">
        <f>C44+D44+E44</f>
        <v>25</v>
      </c>
      <c r="G44" s="126">
        <f>C44-'[1]3. ДС'!C44</f>
        <v>-5</v>
      </c>
      <c r="H44" s="126">
        <v>67019.08</v>
      </c>
      <c r="I44" s="126">
        <f>H44*G44</f>
        <v>-335095.4</v>
      </c>
    </row>
    <row r="45" spans="1:10" ht="17.25" thickBot="1" thickTop="1">
      <c r="A45" s="31"/>
      <c r="B45" s="32" t="s">
        <v>7</v>
      </c>
      <c r="C45" s="142">
        <f>SUM(C42:C44)</f>
        <v>320</v>
      </c>
      <c r="D45" s="176">
        <f>SUM(D42:D44)</f>
        <v>0</v>
      </c>
      <c r="E45" s="176">
        <f>SUM(E42:E44)</f>
        <v>0</v>
      </c>
      <c r="F45" s="89">
        <f>SUM(F42:F44)</f>
        <v>320</v>
      </c>
      <c r="G45" s="131"/>
      <c r="H45" s="131"/>
      <c r="I45" s="131">
        <f>I42+T43+I44</f>
        <v>2466782.5700000003</v>
      </c>
      <c r="J45" s="131"/>
    </row>
    <row r="46" spans="1:6" ht="17.25" thickBot="1" thickTop="1">
      <c r="A46" s="681" t="s">
        <v>247</v>
      </c>
      <c r="B46" s="682"/>
      <c r="C46" s="682"/>
      <c r="D46" s="682"/>
      <c r="E46" s="682"/>
      <c r="F46" s="682"/>
    </row>
    <row r="47" spans="1:9" s="138" customFormat="1" ht="32.25" thickTop="1">
      <c r="A47" s="35">
        <v>6</v>
      </c>
      <c r="B47" s="30" t="s">
        <v>229</v>
      </c>
      <c r="C47" s="474">
        <v>574</v>
      </c>
      <c r="D47" s="298">
        <v>80</v>
      </c>
      <c r="E47" s="177"/>
      <c r="F47" s="178">
        <f>C47+D47+E47</f>
        <v>654</v>
      </c>
      <c r="G47" s="126"/>
      <c r="H47" s="143"/>
      <c r="I47" s="144"/>
    </row>
    <row r="48" spans="1:9" s="414" customFormat="1" ht="15.75" customHeight="1">
      <c r="A48" s="411">
        <f>A47</f>
        <v>6</v>
      </c>
      <c r="B48" s="412" t="s">
        <v>54</v>
      </c>
      <c r="C48" s="475">
        <v>265</v>
      </c>
      <c r="D48" s="476">
        <v>80</v>
      </c>
      <c r="E48" s="413"/>
      <c r="F48" s="453">
        <f>C48+D48+E48</f>
        <v>345</v>
      </c>
      <c r="H48" s="415"/>
      <c r="I48" s="416"/>
    </row>
    <row r="49" spans="1:9" ht="32.25" thickBot="1">
      <c r="A49" s="36">
        <v>5</v>
      </c>
      <c r="B49" s="14" t="s">
        <v>228</v>
      </c>
      <c r="C49" s="459">
        <v>125</v>
      </c>
      <c r="D49" s="477"/>
      <c r="E49" s="167"/>
      <c r="F49" s="179">
        <f>C49+D49+E49</f>
        <v>125</v>
      </c>
      <c r="I49" s="131"/>
    </row>
    <row r="50" spans="1:10" ht="17.25" thickBot="1" thickTop="1">
      <c r="A50" s="31"/>
      <c r="B50" s="32" t="s">
        <v>7</v>
      </c>
      <c r="C50" s="142">
        <f>SUM(C47:C49)-C48</f>
        <v>699</v>
      </c>
      <c r="D50" s="176">
        <f>SUM(D47:D49)-D48</f>
        <v>80</v>
      </c>
      <c r="E50" s="176">
        <f>SUM(E47:E49)-E48</f>
        <v>0</v>
      </c>
      <c r="F50" s="89">
        <f>SUM(F47:F49)-F48</f>
        <v>779</v>
      </c>
      <c r="G50" s="131"/>
      <c r="H50" s="131"/>
      <c r="I50" s="131"/>
      <c r="J50" s="131"/>
    </row>
    <row r="51" spans="1:6" ht="17.25" hidden="1" thickBot="1" thickTop="1">
      <c r="A51" s="681"/>
      <c r="B51" s="682"/>
      <c r="C51" s="682"/>
      <c r="D51" s="682"/>
      <c r="E51" s="682"/>
      <c r="F51" s="682"/>
    </row>
    <row r="52" spans="1:6" ht="17.25" hidden="1" thickBot="1" thickTop="1">
      <c r="A52" s="42"/>
      <c r="B52" s="43"/>
      <c r="C52" s="146"/>
      <c r="D52" s="206"/>
      <c r="E52" s="206"/>
      <c r="F52" s="181"/>
    </row>
    <row r="53" spans="1:10" ht="17.25" hidden="1" thickBot="1" thickTop="1">
      <c r="A53" s="40"/>
      <c r="B53" s="41"/>
      <c r="C53" s="145"/>
      <c r="D53" s="176"/>
      <c r="E53" s="176"/>
      <c r="F53" s="182"/>
      <c r="H53" s="131"/>
      <c r="I53" s="131"/>
      <c r="J53" s="131"/>
    </row>
    <row r="54" spans="1:13" ht="17.25" thickBot="1" thickTop="1">
      <c r="A54" s="681" t="s">
        <v>249</v>
      </c>
      <c r="B54" s="682"/>
      <c r="C54" s="682"/>
      <c r="D54" s="682"/>
      <c r="E54" s="682"/>
      <c r="F54" s="682"/>
      <c r="H54" s="133"/>
      <c r="I54" s="133"/>
      <c r="J54" s="133"/>
      <c r="K54" s="133"/>
      <c r="L54" s="133"/>
      <c r="M54" s="133"/>
    </row>
    <row r="55" spans="1:13" ht="16.5" thickTop="1">
      <c r="A55" s="29">
        <v>71</v>
      </c>
      <c r="B55" s="44" t="s">
        <v>21</v>
      </c>
      <c r="C55" s="15">
        <v>0</v>
      </c>
      <c r="D55" s="299">
        <f>2325+130</f>
        <v>2455</v>
      </c>
      <c r="E55" s="299">
        <f>130-130</f>
        <v>0</v>
      </c>
      <c r="F55" s="169">
        <f>C55+D55+E55</f>
        <v>2455</v>
      </c>
      <c r="H55" s="133"/>
      <c r="I55" s="133"/>
      <c r="J55" s="133"/>
      <c r="K55" s="133"/>
      <c r="L55" s="133"/>
      <c r="M55" s="133"/>
    </row>
    <row r="56" spans="1:13" ht="15.75">
      <c r="A56" s="45">
        <v>80</v>
      </c>
      <c r="B56" s="46" t="s">
        <v>29</v>
      </c>
      <c r="C56" s="19">
        <v>0</v>
      </c>
      <c r="D56" s="603">
        <f>152+18</f>
        <v>170</v>
      </c>
      <c r="E56" s="603">
        <f>18-18</f>
        <v>0</v>
      </c>
      <c r="F56" s="116">
        <f>C56+D56+E56</f>
        <v>170</v>
      </c>
      <c r="H56" s="133"/>
      <c r="I56" s="133"/>
      <c r="J56" s="133"/>
      <c r="K56" s="133"/>
      <c r="L56" s="133"/>
      <c r="M56" s="133"/>
    </row>
    <row r="57" spans="1:13" ht="15.75">
      <c r="A57" s="36">
        <v>85</v>
      </c>
      <c r="B57" s="37" t="s">
        <v>22</v>
      </c>
      <c r="C57" s="19">
        <v>0</v>
      </c>
      <c r="D57" s="603">
        <v>30</v>
      </c>
      <c r="E57" s="604"/>
      <c r="F57" s="479">
        <f>C57+D57+E57</f>
        <v>30</v>
      </c>
      <c r="H57" s="133"/>
      <c r="I57" s="133"/>
      <c r="J57" s="133"/>
      <c r="K57" s="133"/>
      <c r="L57" s="133"/>
      <c r="M57" s="133"/>
    </row>
    <row r="58" spans="1:13" ht="16.5" thickBot="1">
      <c r="A58" s="63">
        <v>30</v>
      </c>
      <c r="B58" s="348" t="s">
        <v>375</v>
      </c>
      <c r="C58" s="67">
        <v>0</v>
      </c>
      <c r="D58" s="190">
        <v>340</v>
      </c>
      <c r="E58" s="190"/>
      <c r="F58" s="169">
        <f>C58+D58+E58</f>
        <v>340</v>
      </c>
      <c r="H58" s="133"/>
      <c r="I58" s="133"/>
      <c r="J58" s="133"/>
      <c r="K58" s="133"/>
      <c r="L58" s="133"/>
      <c r="M58" s="133"/>
    </row>
    <row r="59" spans="1:13" ht="17.25" thickBot="1" thickTop="1">
      <c r="A59" s="31"/>
      <c r="B59" s="48" t="s">
        <v>7</v>
      </c>
      <c r="C59" s="140">
        <f>SUM(C55:C58)</f>
        <v>0</v>
      </c>
      <c r="D59" s="184">
        <f>SUM(D55:D58)</f>
        <v>2995</v>
      </c>
      <c r="E59" s="184">
        <f>SUM(E55:E58)</f>
        <v>0</v>
      </c>
      <c r="F59" s="184">
        <f>SUM(F55:F58)</f>
        <v>2995</v>
      </c>
      <c r="H59" s="132"/>
      <c r="I59" s="132"/>
      <c r="J59" s="132"/>
      <c r="K59" s="133"/>
      <c r="L59" s="133"/>
      <c r="M59" s="133"/>
    </row>
    <row r="60" spans="1:6" ht="17.25" thickBot="1" thickTop="1">
      <c r="A60" s="681" t="s">
        <v>308</v>
      </c>
      <c r="B60" s="682"/>
      <c r="C60" s="682"/>
      <c r="D60" s="682"/>
      <c r="E60" s="682"/>
      <c r="F60" s="682"/>
    </row>
    <row r="61" spans="1:6" ht="32.25" thickTop="1">
      <c r="A61" s="33">
        <v>6</v>
      </c>
      <c r="B61" s="30" t="s">
        <v>229</v>
      </c>
      <c r="C61" s="459">
        <v>200</v>
      </c>
      <c r="D61" s="185">
        <v>0</v>
      </c>
      <c r="E61" s="185">
        <v>0</v>
      </c>
      <c r="F61" s="169">
        <f aca="true" t="shared" si="1" ref="F61:F67">C61+D61+E61</f>
        <v>200</v>
      </c>
    </row>
    <row r="62" spans="1:7" s="138" customFormat="1" ht="15.75">
      <c r="A62" s="51">
        <v>80</v>
      </c>
      <c r="B62" s="46" t="s">
        <v>29</v>
      </c>
      <c r="C62" s="459">
        <v>110</v>
      </c>
      <c r="D62" s="168">
        <v>0</v>
      </c>
      <c r="E62" s="168">
        <v>0</v>
      </c>
      <c r="F62" s="116">
        <f t="shared" si="1"/>
        <v>110</v>
      </c>
      <c r="G62" s="126"/>
    </row>
    <row r="63" spans="1:7" s="138" customFormat="1" ht="15.75">
      <c r="A63" s="458">
        <v>21</v>
      </c>
      <c r="B63" s="46" t="s">
        <v>230</v>
      </c>
      <c r="C63" s="460">
        <v>30</v>
      </c>
      <c r="D63" s="168"/>
      <c r="E63" s="168"/>
      <c r="F63" s="116">
        <f t="shared" si="1"/>
        <v>30</v>
      </c>
      <c r="G63" s="126"/>
    </row>
    <row r="64" spans="1:7" s="138" customFormat="1" ht="15.75">
      <c r="A64" s="458">
        <v>77</v>
      </c>
      <c r="B64" s="46" t="s">
        <v>49</v>
      </c>
      <c r="C64" s="460">
        <v>0</v>
      </c>
      <c r="D64" s="168">
        <v>0</v>
      </c>
      <c r="E64" s="168">
        <v>0</v>
      </c>
      <c r="F64" s="116">
        <f t="shared" si="1"/>
        <v>0</v>
      </c>
      <c r="G64" s="126"/>
    </row>
    <row r="65" spans="1:7" s="138" customFormat="1" ht="15.75">
      <c r="A65" s="458">
        <v>50</v>
      </c>
      <c r="B65" s="46" t="s">
        <v>354</v>
      </c>
      <c r="C65" s="460">
        <v>30</v>
      </c>
      <c r="D65" s="188"/>
      <c r="E65" s="188"/>
      <c r="F65" s="116">
        <f t="shared" si="1"/>
        <v>30</v>
      </c>
      <c r="G65" s="126"/>
    </row>
    <row r="66" spans="1:6" ht="16.5" thickBot="1">
      <c r="A66" s="38">
        <v>29</v>
      </c>
      <c r="B66" s="52" t="s">
        <v>51</v>
      </c>
      <c r="C66" s="461">
        <v>50</v>
      </c>
      <c r="D66" s="186">
        <v>0</v>
      </c>
      <c r="E66" s="186">
        <v>0</v>
      </c>
      <c r="F66" s="183">
        <f t="shared" si="1"/>
        <v>50</v>
      </c>
    </row>
    <row r="67" spans="1:10" ht="17.25" thickBot="1" thickTop="1">
      <c r="A67" s="427"/>
      <c r="B67" s="48" t="s">
        <v>7</v>
      </c>
      <c r="C67" s="147">
        <f>SUM(C61:C66)</f>
        <v>420</v>
      </c>
      <c r="D67" s="147">
        <f>SUM(D61:D66)</f>
        <v>0</v>
      </c>
      <c r="E67" s="147">
        <f>SUM(E61:E66)</f>
        <v>0</v>
      </c>
      <c r="F67" s="184">
        <f t="shared" si="1"/>
        <v>420</v>
      </c>
      <c r="H67" s="131"/>
      <c r="I67" s="131"/>
      <c r="J67" s="131"/>
    </row>
    <row r="68" spans="1:6" ht="17.25" hidden="1" thickBot="1" thickTop="1">
      <c r="A68" s="681"/>
      <c r="B68" s="682"/>
      <c r="C68" s="682"/>
      <c r="D68" s="682"/>
      <c r="E68" s="682"/>
      <c r="F68" s="682"/>
    </row>
    <row r="69" spans="1:6" ht="16.5" hidden="1" thickTop="1">
      <c r="A69" s="29"/>
      <c r="B69" s="30"/>
      <c r="C69" s="294"/>
      <c r="D69" s="185"/>
      <c r="E69" s="185"/>
      <c r="F69" s="178"/>
    </row>
    <row r="70" spans="1:6" ht="15.75" hidden="1">
      <c r="A70" s="36"/>
      <c r="B70" s="37"/>
      <c r="C70" s="293"/>
      <c r="D70" s="168"/>
      <c r="E70" s="168"/>
      <c r="F70" s="179"/>
    </row>
    <row r="71" spans="1:6" ht="15.75" hidden="1">
      <c r="A71" s="36"/>
      <c r="B71" s="37"/>
      <c r="C71" s="13"/>
      <c r="D71" s="168"/>
      <c r="E71" s="168"/>
      <c r="F71" s="179"/>
    </row>
    <row r="72" spans="1:6" ht="15.75" hidden="1">
      <c r="A72" s="29"/>
      <c r="B72" s="30"/>
      <c r="C72" s="15"/>
      <c r="D72" s="299"/>
      <c r="E72" s="168"/>
      <c r="F72" s="178"/>
    </row>
    <row r="73" spans="1:6" ht="15.75" hidden="1">
      <c r="A73" s="54"/>
      <c r="B73" s="37"/>
      <c r="C73" s="13"/>
      <c r="D73" s="168"/>
      <c r="E73" s="168"/>
      <c r="F73" s="179"/>
    </row>
    <row r="74" spans="1:6" ht="16.5" hidden="1" thickBot="1">
      <c r="A74" s="55"/>
      <c r="B74" s="47"/>
      <c r="C74" s="20"/>
      <c r="D74" s="168"/>
      <c r="E74" s="168"/>
      <c r="F74" s="189"/>
    </row>
    <row r="75" spans="1:10" ht="17.25" hidden="1" thickBot="1" thickTop="1">
      <c r="A75" s="31"/>
      <c r="B75" s="32"/>
      <c r="C75" s="140"/>
      <c r="D75" s="176"/>
      <c r="E75" s="176"/>
      <c r="F75" s="89"/>
      <c r="H75" s="131"/>
      <c r="I75" s="131"/>
      <c r="J75" s="131"/>
    </row>
    <row r="76" spans="1:6" ht="17.25" hidden="1" thickBot="1" thickTop="1">
      <c r="A76" s="681"/>
      <c r="B76" s="682"/>
      <c r="C76" s="682"/>
      <c r="D76" s="682"/>
      <c r="E76" s="682"/>
      <c r="F76" s="682"/>
    </row>
    <row r="77" spans="1:6" ht="16.5" hidden="1" thickTop="1">
      <c r="A77" s="33"/>
      <c r="B77" s="49"/>
      <c r="C77" s="295"/>
      <c r="D77" s="185"/>
      <c r="E77" s="185"/>
      <c r="F77" s="172"/>
    </row>
    <row r="78" spans="1:6" ht="15.75" hidden="1">
      <c r="A78" s="36"/>
      <c r="B78" s="50"/>
      <c r="C78" s="293"/>
      <c r="D78" s="167"/>
      <c r="E78" s="167"/>
      <c r="F78" s="179"/>
    </row>
    <row r="79" spans="1:6" ht="15.75" hidden="1">
      <c r="A79" s="36"/>
      <c r="B79" s="50"/>
      <c r="C79" s="293"/>
      <c r="D79" s="168"/>
      <c r="E79" s="168"/>
      <c r="F79" s="179"/>
    </row>
    <row r="80" spans="1:6" ht="15.75" hidden="1">
      <c r="A80" s="45"/>
      <c r="B80" s="37"/>
      <c r="C80" s="13"/>
      <c r="D80" s="299"/>
      <c r="E80" s="299"/>
      <c r="F80" s="179"/>
    </row>
    <row r="81" spans="1:6" ht="16.5" hidden="1" thickBot="1">
      <c r="A81" s="45"/>
      <c r="B81" s="56"/>
      <c r="C81" s="20"/>
      <c r="D81" s="186"/>
      <c r="E81" s="188"/>
      <c r="F81" s="189"/>
    </row>
    <row r="82" spans="1:10" ht="17.25" hidden="1" thickBot="1" thickTop="1">
      <c r="A82" s="31"/>
      <c r="B82" s="28"/>
      <c r="C82" s="140"/>
      <c r="D82" s="176"/>
      <c r="E82" s="176"/>
      <c r="F82" s="89"/>
      <c r="H82" s="131"/>
      <c r="J82" s="131"/>
    </row>
    <row r="83" spans="1:6" ht="17.25" customHeight="1" hidden="1" thickBot="1" thickTop="1">
      <c r="A83" s="681"/>
      <c r="B83" s="682"/>
      <c r="C83" s="682"/>
      <c r="D83" s="682"/>
      <c r="E83" s="682"/>
      <c r="F83" s="682"/>
    </row>
    <row r="84" spans="1:6" ht="16.5" hidden="1" thickTop="1">
      <c r="A84" s="21"/>
      <c r="B84" s="34"/>
      <c r="C84" s="13"/>
      <c r="D84" s="185"/>
      <c r="E84" s="185"/>
      <c r="F84" s="179"/>
    </row>
    <row r="85" spans="1:6" ht="15.75" hidden="1">
      <c r="A85" s="36"/>
      <c r="B85" s="37"/>
      <c r="C85" s="13"/>
      <c r="D85" s="177"/>
      <c r="E85" s="177"/>
      <c r="F85" s="179"/>
    </row>
    <row r="86" spans="1:6" ht="15.75" hidden="1">
      <c r="A86" s="36"/>
      <c r="B86" s="37"/>
      <c r="C86" s="127"/>
      <c r="D86" s="298"/>
      <c r="E86" s="298"/>
      <c r="F86" s="179"/>
    </row>
    <row r="87" spans="1:6" ht="15.75" hidden="1">
      <c r="A87" s="36"/>
      <c r="B87" s="37"/>
      <c r="C87" s="13"/>
      <c r="D87" s="299"/>
      <c r="E87" s="299"/>
      <c r="F87" s="179"/>
    </row>
    <row r="88" spans="1:6" ht="16.5" hidden="1" thickBot="1">
      <c r="A88" s="55"/>
      <c r="B88" s="47"/>
      <c r="C88" s="60"/>
      <c r="D88" s="186"/>
      <c r="E88" s="186"/>
      <c r="F88" s="187"/>
    </row>
    <row r="89" spans="1:14" ht="17.25" hidden="1" thickBot="1" thickTop="1">
      <c r="A89" s="31"/>
      <c r="B89" s="32"/>
      <c r="C89" s="140"/>
      <c r="D89" s="176"/>
      <c r="E89" s="176"/>
      <c r="F89" s="89"/>
      <c r="H89" s="131"/>
      <c r="J89" s="131"/>
      <c r="M89" s="131"/>
      <c r="N89" s="131"/>
    </row>
    <row r="90" spans="1:6" ht="17.25" hidden="1" thickBot="1" thickTop="1">
      <c r="A90" s="681"/>
      <c r="B90" s="682"/>
      <c r="C90" s="682"/>
      <c r="D90" s="682"/>
      <c r="E90" s="682"/>
      <c r="F90" s="682"/>
    </row>
    <row r="91" spans="1:13" ht="16.5" hidden="1" thickTop="1">
      <c r="A91" s="36"/>
      <c r="B91" s="50"/>
      <c r="C91" s="13"/>
      <c r="D91" s="297"/>
      <c r="E91" s="297"/>
      <c r="F91" s="179"/>
      <c r="H91" s="131"/>
      <c r="I91" s="131"/>
      <c r="J91" s="131"/>
      <c r="K91" s="131"/>
      <c r="L91" s="131"/>
      <c r="M91" s="131"/>
    </row>
    <row r="92" spans="1:6" ht="15.75" hidden="1">
      <c r="A92" s="29"/>
      <c r="B92" s="57"/>
      <c r="C92" s="15"/>
      <c r="D92" s="298"/>
      <c r="E92" s="298"/>
      <c r="F92" s="178"/>
    </row>
    <row r="93" spans="1:6" ht="15.75" hidden="1">
      <c r="A93" s="36"/>
      <c r="B93" s="50"/>
      <c r="C93" s="13"/>
      <c r="D93" s="299"/>
      <c r="E93" s="299"/>
      <c r="F93" s="179"/>
    </row>
    <row r="94" spans="1:12" ht="16.5" hidden="1" thickBot="1">
      <c r="A94" s="38"/>
      <c r="B94" s="52"/>
      <c r="C94" s="60"/>
      <c r="D94" s="186"/>
      <c r="E94" s="186"/>
      <c r="F94" s="187"/>
      <c r="H94" s="131"/>
      <c r="L94" s="131"/>
    </row>
    <row r="95" spans="1:12" ht="17.25" hidden="1" thickBot="1" thickTop="1">
      <c r="A95" s="40"/>
      <c r="B95" s="53"/>
      <c r="C95" s="145"/>
      <c r="D95" s="176"/>
      <c r="E95" s="180"/>
      <c r="F95" s="182"/>
      <c r="H95" s="131"/>
      <c r="I95" s="131"/>
      <c r="J95" s="131"/>
      <c r="K95" s="131"/>
      <c r="L95" s="131"/>
    </row>
    <row r="96" spans="1:6" ht="17.25" hidden="1" thickBot="1" thickTop="1">
      <c r="A96" s="681"/>
      <c r="B96" s="682"/>
      <c r="C96" s="682"/>
      <c r="D96" s="682"/>
      <c r="E96" s="682"/>
      <c r="F96" s="682"/>
    </row>
    <row r="97" spans="1:6" ht="16.5" hidden="1" thickTop="1">
      <c r="A97" s="33"/>
      <c r="B97" s="34"/>
      <c r="C97" s="24"/>
      <c r="D97" s="185"/>
      <c r="E97" s="185"/>
      <c r="F97" s="172"/>
    </row>
    <row r="98" spans="1:6" ht="15.75" hidden="1">
      <c r="A98" s="36"/>
      <c r="B98" s="37"/>
      <c r="C98" s="13"/>
      <c r="D98" s="177"/>
      <c r="E98" s="177"/>
      <c r="F98" s="179"/>
    </row>
    <row r="99" spans="1:6" ht="15.75" hidden="1">
      <c r="A99" s="36"/>
      <c r="B99" s="37"/>
      <c r="C99" s="13"/>
      <c r="D99" s="177"/>
      <c r="E99" s="177"/>
      <c r="F99" s="179"/>
    </row>
    <row r="100" spans="1:6" ht="15.75" hidden="1">
      <c r="A100" s="36"/>
      <c r="B100" s="37"/>
      <c r="C100" s="13"/>
      <c r="D100" s="299"/>
      <c r="E100" s="177"/>
      <c r="F100" s="179"/>
    </row>
    <row r="101" spans="1:6" ht="16.5" hidden="1" thickBot="1">
      <c r="A101" s="45"/>
      <c r="B101" s="47"/>
      <c r="C101" s="60"/>
      <c r="D101" s="186"/>
      <c r="E101" s="186"/>
      <c r="F101" s="187"/>
    </row>
    <row r="102" spans="1:14" ht="17.25" hidden="1" thickBot="1" thickTop="1">
      <c r="A102" s="31"/>
      <c r="B102" s="32"/>
      <c r="C102" s="149"/>
      <c r="D102" s="176"/>
      <c r="E102" s="176"/>
      <c r="F102" s="89"/>
      <c r="H102" s="131"/>
      <c r="I102" s="131"/>
      <c r="J102" s="131"/>
      <c r="M102" s="131"/>
      <c r="N102" s="131"/>
    </row>
    <row r="103" spans="1:6" ht="17.25" hidden="1" thickBot="1" thickTop="1">
      <c r="A103" s="681"/>
      <c r="B103" s="682"/>
      <c r="C103" s="682"/>
      <c r="D103" s="682"/>
      <c r="E103" s="682"/>
      <c r="F103" s="682"/>
    </row>
    <row r="104" spans="1:6" ht="16.5" hidden="1" thickTop="1">
      <c r="A104" s="36"/>
      <c r="B104" s="50"/>
      <c r="C104" s="13"/>
      <c r="D104" s="185"/>
      <c r="E104" s="185"/>
      <c r="F104" s="179"/>
    </row>
    <row r="105" spans="1:6" ht="15.75" hidden="1">
      <c r="A105" s="29"/>
      <c r="B105" s="57"/>
      <c r="C105" s="128"/>
      <c r="D105" s="177"/>
      <c r="E105" s="298"/>
      <c r="F105" s="178"/>
    </row>
    <row r="106" spans="1:6" ht="15.75" hidden="1">
      <c r="A106" s="45"/>
      <c r="B106" s="50"/>
      <c r="C106" s="20"/>
      <c r="D106" s="299"/>
      <c r="E106" s="299"/>
      <c r="F106" s="179"/>
    </row>
    <row r="107" spans="1:6" ht="15.75" hidden="1">
      <c r="A107" s="36"/>
      <c r="B107" s="50"/>
      <c r="C107" s="13"/>
      <c r="D107" s="168"/>
      <c r="E107" s="177"/>
      <c r="F107" s="178"/>
    </row>
    <row r="108" spans="1:6" ht="16.5" hidden="1" thickBot="1">
      <c r="A108" s="60"/>
      <c r="B108" s="61"/>
      <c r="C108" s="60"/>
      <c r="D108" s="186"/>
      <c r="E108" s="190"/>
      <c r="F108" s="191"/>
    </row>
    <row r="109" spans="1:14" ht="17.25" hidden="1" thickBot="1" thickTop="1">
      <c r="A109" s="31"/>
      <c r="B109" s="28"/>
      <c r="C109" s="140"/>
      <c r="D109" s="176"/>
      <c r="E109" s="176"/>
      <c r="F109" s="89"/>
      <c r="H109" s="131"/>
      <c r="I109" s="131"/>
      <c r="J109" s="131"/>
      <c r="M109" s="131"/>
      <c r="N109" s="131"/>
    </row>
    <row r="110" spans="1:14" ht="17.25" hidden="1" thickBot="1" thickTop="1">
      <c r="A110" s="681"/>
      <c r="B110" s="682"/>
      <c r="C110" s="682"/>
      <c r="D110" s="682"/>
      <c r="E110" s="682"/>
      <c r="F110" s="682"/>
      <c r="H110" s="131"/>
      <c r="I110" s="131"/>
      <c r="J110" s="131"/>
      <c r="M110" s="131"/>
      <c r="N110" s="131"/>
    </row>
    <row r="111" spans="1:14" ht="16.5" hidden="1" thickTop="1">
      <c r="A111" s="33"/>
      <c r="B111" s="34"/>
      <c r="C111" s="24"/>
      <c r="D111" s="185"/>
      <c r="E111" s="185"/>
      <c r="F111" s="172"/>
      <c r="H111" s="131"/>
      <c r="I111" s="131"/>
      <c r="J111" s="131"/>
      <c r="M111" s="131"/>
      <c r="N111" s="131"/>
    </row>
    <row r="112" spans="1:14" ht="15.75" hidden="1">
      <c r="A112" s="29"/>
      <c r="B112" s="58"/>
      <c r="C112" s="69"/>
      <c r="D112" s="208"/>
      <c r="E112" s="208"/>
      <c r="F112" s="207"/>
      <c r="H112" s="131"/>
      <c r="I112" s="131"/>
      <c r="J112" s="131"/>
      <c r="M112" s="131"/>
      <c r="N112" s="131"/>
    </row>
    <row r="113" spans="1:14" ht="15.75" hidden="1">
      <c r="A113" s="36"/>
      <c r="B113" s="37"/>
      <c r="C113" s="13"/>
      <c r="D113" s="177"/>
      <c r="E113" s="177"/>
      <c r="F113" s="179"/>
      <c r="H113" s="131"/>
      <c r="I113" s="131"/>
      <c r="J113" s="131"/>
      <c r="M113" s="131"/>
      <c r="N113" s="131"/>
    </row>
    <row r="114" spans="1:14" ht="15.75" hidden="1">
      <c r="A114" s="36"/>
      <c r="B114" s="37"/>
      <c r="C114" s="13"/>
      <c r="D114" s="175"/>
      <c r="E114" s="177"/>
      <c r="F114" s="179"/>
      <c r="H114" s="131"/>
      <c r="I114" s="131"/>
      <c r="J114" s="131"/>
      <c r="M114" s="131"/>
      <c r="N114" s="131"/>
    </row>
    <row r="115" spans="1:14" ht="16.5" hidden="1" thickBot="1">
      <c r="A115" s="45"/>
      <c r="B115" s="47"/>
      <c r="C115" s="60"/>
      <c r="D115" s="186"/>
      <c r="E115" s="186"/>
      <c r="F115" s="187"/>
      <c r="H115" s="131"/>
      <c r="I115" s="131"/>
      <c r="J115" s="131"/>
      <c r="M115" s="131"/>
      <c r="N115" s="131"/>
    </row>
    <row r="116" spans="1:14" ht="17.25" hidden="1" thickBot="1" thickTop="1">
      <c r="A116" s="31"/>
      <c r="B116" s="32"/>
      <c r="C116" s="149"/>
      <c r="D116" s="176"/>
      <c r="E116" s="176"/>
      <c r="F116" s="89"/>
      <c r="H116" s="131"/>
      <c r="I116" s="131"/>
      <c r="J116" s="131"/>
      <c r="M116" s="131"/>
      <c r="N116" s="131"/>
    </row>
    <row r="117" spans="1:10" ht="48" thickTop="1">
      <c r="A117" s="33"/>
      <c r="B117" s="22" t="s">
        <v>307</v>
      </c>
      <c r="C117" s="170">
        <f>C109+C102+C95+C89+C82+C75+C67+C59+C53+C50+C45+C39+C33+C116</f>
        <v>5204</v>
      </c>
      <c r="D117" s="171">
        <f>D109+D102+D95+D89+D82+D75+D67+D59+D53+D50+D45+D39+D33+D116</f>
        <v>3593</v>
      </c>
      <c r="E117" s="171">
        <f>E109+E102+E95+E89+E82+E75+E67+E59+E53+E50+E45+E39+E33+E116</f>
        <v>206</v>
      </c>
      <c r="F117" s="172">
        <f>F109+F102+F95+F89+F82+F75+F67+F59+F53+F50+F45+F39+F33+F116</f>
        <v>9003</v>
      </c>
      <c r="H117" s="131"/>
      <c r="I117" s="131"/>
      <c r="J117" s="131"/>
    </row>
    <row r="118" spans="1:10" ht="32.25" thickBot="1">
      <c r="A118" s="27"/>
      <c r="B118" s="158" t="s">
        <v>169</v>
      </c>
      <c r="C118" s="203">
        <f>C34+C40</f>
        <v>1375</v>
      </c>
      <c r="D118" s="204">
        <f>D34+D40</f>
        <v>10</v>
      </c>
      <c r="E118" s="204">
        <f>E34+E40</f>
        <v>0</v>
      </c>
      <c r="F118" s="205">
        <f>C118+D118+E118</f>
        <v>1385</v>
      </c>
      <c r="H118" s="131"/>
      <c r="I118" s="131"/>
      <c r="J118" s="131"/>
    </row>
    <row r="119" spans="1:6" ht="17.25" thickBot="1" thickTop="1">
      <c r="A119" s="681" t="s">
        <v>252</v>
      </c>
      <c r="B119" s="682"/>
      <c r="C119" s="682"/>
      <c r="D119" s="682"/>
      <c r="E119" s="682"/>
      <c r="F119" s="682"/>
    </row>
    <row r="120" spans="1:8" ht="27" customHeight="1" thickTop="1">
      <c r="A120" s="1">
        <v>8</v>
      </c>
      <c r="B120" s="2" t="s">
        <v>58</v>
      </c>
      <c r="C120" s="192">
        <v>15</v>
      </c>
      <c r="D120" s="168">
        <v>0</v>
      </c>
      <c r="E120" s="190">
        <v>0</v>
      </c>
      <c r="F120" s="191">
        <f>C120+D120+E120</f>
        <v>15</v>
      </c>
      <c r="H120" s="131"/>
    </row>
    <row r="121" spans="1:8" ht="16.5" thickBot="1">
      <c r="A121" s="38"/>
      <c r="B121" s="62" t="s">
        <v>60</v>
      </c>
      <c r="C121" s="193">
        <f>C120</f>
        <v>15</v>
      </c>
      <c r="D121" s="194">
        <f>D120</f>
        <v>0</v>
      </c>
      <c r="E121" s="194">
        <f>E120</f>
        <v>0</v>
      </c>
      <c r="F121" s="183">
        <f>F120</f>
        <v>15</v>
      </c>
      <c r="H121" s="131"/>
    </row>
    <row r="122" spans="1:6" ht="17.25" thickBot="1" thickTop="1">
      <c r="A122" s="681" t="s">
        <v>371</v>
      </c>
      <c r="B122" s="682"/>
      <c r="C122" s="682"/>
      <c r="D122" s="682"/>
      <c r="E122" s="682"/>
      <c r="F122" s="682"/>
    </row>
    <row r="123" spans="1:6" ht="31.5" customHeight="1" thickTop="1">
      <c r="A123" s="8">
        <v>8</v>
      </c>
      <c r="B123" s="2" t="s">
        <v>58</v>
      </c>
      <c r="C123" s="192">
        <v>8</v>
      </c>
      <c r="D123" s="168">
        <v>0</v>
      </c>
      <c r="E123" s="190">
        <v>0</v>
      </c>
      <c r="F123" s="191">
        <f>C123+D123+E123</f>
        <v>8</v>
      </c>
    </row>
    <row r="124" spans="1:6" ht="16.5" thickBot="1">
      <c r="A124" s="38"/>
      <c r="B124" s="62" t="s">
        <v>7</v>
      </c>
      <c r="C124" s="193">
        <f>C123</f>
        <v>8</v>
      </c>
      <c r="D124" s="194">
        <f>D123</f>
        <v>0</v>
      </c>
      <c r="E124" s="194">
        <f>E123</f>
        <v>0</v>
      </c>
      <c r="F124" s="183">
        <f>F123</f>
        <v>8</v>
      </c>
    </row>
    <row r="125" spans="1:6" ht="33.75" customHeight="1" thickBot="1" thickTop="1">
      <c r="A125" s="681" t="s">
        <v>369</v>
      </c>
      <c r="B125" s="682"/>
      <c r="C125" s="682"/>
      <c r="D125" s="682"/>
      <c r="E125" s="682"/>
      <c r="F125" s="682"/>
    </row>
    <row r="126" spans="1:6" ht="16.5" thickTop="1">
      <c r="A126" s="8">
        <v>52</v>
      </c>
      <c r="B126" s="2" t="s">
        <v>2</v>
      </c>
      <c r="C126" s="192">
        <v>6</v>
      </c>
      <c r="D126" s="168">
        <v>0</v>
      </c>
      <c r="E126" s="190">
        <v>0</v>
      </c>
      <c r="F126" s="191">
        <f>C126+D126+E126</f>
        <v>6</v>
      </c>
    </row>
    <row r="127" spans="1:6" ht="16.5" thickBot="1">
      <c r="A127" s="38"/>
      <c r="B127" s="62" t="s">
        <v>7</v>
      </c>
      <c r="C127" s="193">
        <f>C126</f>
        <v>6</v>
      </c>
      <c r="D127" s="194">
        <f>D126</f>
        <v>0</v>
      </c>
      <c r="E127" s="194">
        <f>E126</f>
        <v>0</v>
      </c>
      <c r="F127" s="183">
        <f>F126</f>
        <v>6</v>
      </c>
    </row>
    <row r="128" spans="1:6" ht="32.25" thickTop="1">
      <c r="A128" s="195"/>
      <c r="B128" s="196" t="s">
        <v>182</v>
      </c>
      <c r="C128" s="219">
        <f>C127+C124+C121</f>
        <v>29</v>
      </c>
      <c r="D128" s="198">
        <f>D127+D124+D121</f>
        <v>0</v>
      </c>
      <c r="E128" s="198">
        <f>E127+E124+E121</f>
        <v>0</v>
      </c>
      <c r="F128" s="218">
        <f>C128+D128+E128</f>
        <v>29</v>
      </c>
    </row>
    <row r="129" spans="1:6" ht="15.75">
      <c r="A129" s="220"/>
      <c r="B129" s="213" t="s">
        <v>183</v>
      </c>
      <c r="C129" s="214">
        <f>C120+C123</f>
        <v>23</v>
      </c>
      <c r="D129" s="215">
        <f>D120+D123</f>
        <v>0</v>
      </c>
      <c r="E129" s="215">
        <f>E120+E123</f>
        <v>0</v>
      </c>
      <c r="F129" s="216">
        <f>F120+F123</f>
        <v>23</v>
      </c>
    </row>
    <row r="130" spans="1:6" ht="31.5">
      <c r="A130" s="27"/>
      <c r="B130" s="213" t="s">
        <v>169</v>
      </c>
      <c r="C130" s="214">
        <v>0</v>
      </c>
      <c r="D130" s="215">
        <v>0</v>
      </c>
      <c r="E130" s="215">
        <v>0</v>
      </c>
      <c r="F130" s="216">
        <f>C130+D130+E130</f>
        <v>0</v>
      </c>
    </row>
    <row r="131" spans="1:6" ht="16.5" thickBot="1">
      <c r="A131" s="27"/>
      <c r="B131" s="213" t="s">
        <v>174</v>
      </c>
      <c r="C131" s="214">
        <f>C17+C18+C58</f>
        <v>0</v>
      </c>
      <c r="D131" s="215">
        <f>D17+D18+D58</f>
        <v>340</v>
      </c>
      <c r="E131" s="215">
        <f>E17+E18+E58</f>
        <v>0</v>
      </c>
      <c r="F131" s="216">
        <f>F17+F18+F58</f>
        <v>340</v>
      </c>
    </row>
    <row r="132" spans="1:6" ht="33" customHeight="1" thickBot="1" thickTop="1">
      <c r="A132" s="681" t="s">
        <v>234</v>
      </c>
      <c r="B132" s="682"/>
      <c r="C132" s="682"/>
      <c r="D132" s="682"/>
      <c r="E132" s="682"/>
      <c r="F132" s="682"/>
    </row>
    <row r="133" spans="1:6" ht="79.5" thickTop="1">
      <c r="A133" s="33"/>
      <c r="B133" s="209" t="s">
        <v>185</v>
      </c>
      <c r="C133" s="404">
        <v>446</v>
      </c>
      <c r="D133" s="210">
        <v>0</v>
      </c>
      <c r="E133" s="211">
        <v>0</v>
      </c>
      <c r="F133" s="212">
        <f aca="true" t="shared" si="2" ref="F133:F139">C133+D133+E133</f>
        <v>446</v>
      </c>
    </row>
    <row r="134" spans="1:6" ht="15.75">
      <c r="A134" s="220"/>
      <c r="B134" s="213" t="s">
        <v>183</v>
      </c>
      <c r="C134" s="405">
        <v>66</v>
      </c>
      <c r="D134" s="215">
        <v>0</v>
      </c>
      <c r="E134" s="215">
        <v>0</v>
      </c>
      <c r="F134" s="216">
        <f t="shared" si="2"/>
        <v>66</v>
      </c>
    </row>
    <row r="135" spans="1:6" ht="31.5">
      <c r="A135" s="54"/>
      <c r="B135" s="213" t="s">
        <v>169</v>
      </c>
      <c r="C135" s="405">
        <v>28</v>
      </c>
      <c r="D135" s="215">
        <v>0</v>
      </c>
      <c r="E135" s="215">
        <v>0</v>
      </c>
      <c r="F135" s="216">
        <f t="shared" si="2"/>
        <v>28</v>
      </c>
    </row>
    <row r="136" spans="1:6" ht="16.5" thickBot="1">
      <c r="A136" s="27"/>
      <c r="B136" s="213" t="s">
        <v>174</v>
      </c>
      <c r="C136" s="405">
        <v>10</v>
      </c>
      <c r="D136" s="215">
        <v>0</v>
      </c>
      <c r="E136" s="215">
        <v>0</v>
      </c>
      <c r="F136" s="216">
        <f t="shared" si="2"/>
        <v>10</v>
      </c>
    </row>
    <row r="137" spans="1:10" ht="58.5" customHeight="1" thickTop="1">
      <c r="A137" s="195"/>
      <c r="B137" s="217" t="s">
        <v>184</v>
      </c>
      <c r="C137" s="197">
        <f>C133+C128+C117</f>
        <v>5679</v>
      </c>
      <c r="D137" s="198">
        <f>D133+D128+D117</f>
        <v>3593</v>
      </c>
      <c r="E137" s="198">
        <f>E133+E128+E117</f>
        <v>206</v>
      </c>
      <c r="F137" s="218">
        <f t="shared" si="2"/>
        <v>9478</v>
      </c>
      <c r="G137" s="199">
        <f>9128+350</f>
        <v>9478</v>
      </c>
      <c r="H137" s="199">
        <f>G137-F137</f>
        <v>0</v>
      </c>
      <c r="I137" s="131">
        <f>F33+F45+F50+F59+F67+F121+F124+F127+F133</f>
        <v>9478</v>
      </c>
      <c r="J137" s="131"/>
    </row>
    <row r="138" spans="1:10" ht="18" customHeight="1">
      <c r="A138" s="220"/>
      <c r="B138" s="213" t="s">
        <v>183</v>
      </c>
      <c r="C138" s="214">
        <f>C134+C129</f>
        <v>89</v>
      </c>
      <c r="D138" s="215">
        <f>D134+D129</f>
        <v>0</v>
      </c>
      <c r="E138" s="215">
        <f>E134+E129</f>
        <v>0</v>
      </c>
      <c r="F138" s="216">
        <f t="shared" si="2"/>
        <v>89</v>
      </c>
      <c r="G138" s="199">
        <v>89</v>
      </c>
      <c r="H138" s="199">
        <f>G138-F138</f>
        <v>0</v>
      </c>
      <c r="I138" s="131"/>
      <c r="J138" s="131"/>
    </row>
    <row r="139" spans="1:10" s="154" customFormat="1" ht="31.5">
      <c r="A139" s="54"/>
      <c r="B139" s="213" t="s">
        <v>169</v>
      </c>
      <c r="C139" s="214">
        <f>C130+C118+C135</f>
        <v>1403</v>
      </c>
      <c r="D139" s="215">
        <f>D130+D118+D135</f>
        <v>10</v>
      </c>
      <c r="E139" s="215">
        <f>E130+E118+E135</f>
        <v>0</v>
      </c>
      <c r="F139" s="216">
        <f t="shared" si="2"/>
        <v>1413</v>
      </c>
      <c r="G139" s="65">
        <v>1413</v>
      </c>
      <c r="H139" s="153">
        <f>G139-F139</f>
        <v>0</v>
      </c>
      <c r="J139" s="131"/>
    </row>
    <row r="140" spans="1:8" ht="15.75">
      <c r="A140" s="27"/>
      <c r="B140" s="213" t="s">
        <v>174</v>
      </c>
      <c r="C140" s="214">
        <f>C136+C131</f>
        <v>10</v>
      </c>
      <c r="D140" s="215">
        <f>D136+D131</f>
        <v>340</v>
      </c>
      <c r="E140" s="215">
        <f>E136+E131</f>
        <v>0</v>
      </c>
      <c r="F140" s="216">
        <f>F136+F131</f>
        <v>350</v>
      </c>
      <c r="G140" s="65">
        <v>350</v>
      </c>
      <c r="H140" s="289">
        <f>G140-F140</f>
        <v>0</v>
      </c>
    </row>
    <row r="141" spans="1:7" s="154" customFormat="1" ht="15.75">
      <c r="A141" s="65"/>
      <c r="B141" s="9" t="s">
        <v>62</v>
      </c>
      <c r="C141" s="168">
        <v>0</v>
      </c>
      <c r="D141" s="168">
        <v>0</v>
      </c>
      <c r="E141" s="168">
        <v>0</v>
      </c>
      <c r="F141" s="168">
        <v>0</v>
      </c>
      <c r="G141" s="65"/>
    </row>
    <row r="142" spans="1:8" ht="15.75">
      <c r="A142" s="67"/>
      <c r="B142" s="9" t="s">
        <v>231</v>
      </c>
      <c r="C142" s="168">
        <f>C10+C11+C47+C49+C120+C61+C123</f>
        <v>1243</v>
      </c>
      <c r="D142" s="168">
        <f>D10+D11+D47+D49+D120+D61+D123</f>
        <v>80</v>
      </c>
      <c r="E142" s="168">
        <f>E10+E11+E47+E49+E120+E61+E123</f>
        <v>0</v>
      </c>
      <c r="F142" s="168">
        <f>F10+F11+F47+F49+F120+F61+F123</f>
        <v>1323</v>
      </c>
      <c r="G142" s="65"/>
      <c r="H142" s="292">
        <f>SUM(C142:E142)-F142</f>
        <v>0</v>
      </c>
    </row>
    <row r="143" spans="1:8" ht="15.75">
      <c r="A143" s="67"/>
      <c r="B143" s="9" t="s">
        <v>15</v>
      </c>
      <c r="C143" s="168">
        <f>0</f>
        <v>0</v>
      </c>
      <c r="D143" s="168">
        <f>0</f>
        <v>0</v>
      </c>
      <c r="E143" s="168">
        <f>0</f>
        <v>0</v>
      </c>
      <c r="F143" s="168">
        <f>0</f>
        <v>0</v>
      </c>
      <c r="G143" s="65"/>
      <c r="H143" s="292">
        <f aca="true" t="shared" si="3" ref="H143:H168">SUM(C143:E143)-F143</f>
        <v>0</v>
      </c>
    </row>
    <row r="144" spans="1:8" ht="15.75">
      <c r="A144" s="67"/>
      <c r="B144" s="9" t="s">
        <v>16</v>
      </c>
      <c r="C144" s="168">
        <f>C12</f>
        <v>59</v>
      </c>
      <c r="D144" s="168">
        <f>D12</f>
        <v>0</v>
      </c>
      <c r="E144" s="168">
        <f>E12</f>
        <v>0</v>
      </c>
      <c r="F144" s="168">
        <f>F12</f>
        <v>59</v>
      </c>
      <c r="G144" s="65"/>
      <c r="H144" s="292">
        <f t="shared" si="3"/>
        <v>0</v>
      </c>
    </row>
    <row r="145" spans="1:8" ht="15.75">
      <c r="A145" s="68"/>
      <c r="B145" s="9" t="s">
        <v>84</v>
      </c>
      <c r="C145" s="168">
        <f>0</f>
        <v>0</v>
      </c>
      <c r="D145" s="168">
        <f>0</f>
        <v>0</v>
      </c>
      <c r="E145" s="168">
        <f>0</f>
        <v>0</v>
      </c>
      <c r="F145" s="168">
        <f>0</f>
        <v>0</v>
      </c>
      <c r="H145" s="292">
        <f t="shared" si="3"/>
        <v>0</v>
      </c>
    </row>
    <row r="146" spans="1:8" ht="15.75">
      <c r="A146" s="67"/>
      <c r="B146" s="9" t="s">
        <v>50</v>
      </c>
      <c r="C146" s="168">
        <f>C14+C15</f>
        <v>201</v>
      </c>
      <c r="D146" s="168">
        <f>D14+D15</f>
        <v>0</v>
      </c>
      <c r="E146" s="168">
        <f>E14+E15</f>
        <v>0</v>
      </c>
      <c r="F146" s="168">
        <f>F14+F15</f>
        <v>201</v>
      </c>
      <c r="H146" s="292">
        <f t="shared" si="3"/>
        <v>0</v>
      </c>
    </row>
    <row r="147" spans="1:8" ht="15.75">
      <c r="A147" s="68"/>
      <c r="B147" s="9" t="s">
        <v>28</v>
      </c>
      <c r="C147" s="168">
        <f>0</f>
        <v>0</v>
      </c>
      <c r="D147" s="168">
        <f>0</f>
        <v>0</v>
      </c>
      <c r="E147" s="168">
        <f>0</f>
        <v>0</v>
      </c>
      <c r="F147" s="168">
        <f>0</f>
        <v>0</v>
      </c>
      <c r="H147" s="292">
        <f t="shared" si="3"/>
        <v>0</v>
      </c>
    </row>
    <row r="148" spans="1:8" ht="15.75">
      <c r="A148" s="155"/>
      <c r="B148" s="9" t="s">
        <v>17</v>
      </c>
      <c r="C148" s="168">
        <f>C16</f>
        <v>70</v>
      </c>
      <c r="D148" s="168">
        <f>D16</f>
        <v>0</v>
      </c>
      <c r="E148" s="168">
        <f>E16</f>
        <v>0</v>
      </c>
      <c r="F148" s="168">
        <f>F16</f>
        <v>70</v>
      </c>
      <c r="H148" s="292">
        <f t="shared" si="3"/>
        <v>0</v>
      </c>
    </row>
    <row r="149" spans="1:8" ht="15.75">
      <c r="A149" s="155"/>
      <c r="B149" s="9" t="s">
        <v>63</v>
      </c>
      <c r="C149" s="168">
        <f>C66</f>
        <v>50</v>
      </c>
      <c r="D149" s="168">
        <f>D66</f>
        <v>0</v>
      </c>
      <c r="E149" s="168">
        <f>E66</f>
        <v>0</v>
      </c>
      <c r="F149" s="168">
        <f>F66</f>
        <v>50</v>
      </c>
      <c r="H149" s="292">
        <f t="shared" si="3"/>
        <v>0</v>
      </c>
    </row>
    <row r="150" spans="1:8" ht="15.75">
      <c r="A150" s="155"/>
      <c r="B150" s="9" t="s">
        <v>71</v>
      </c>
      <c r="C150" s="168">
        <f>C17+C18+C58</f>
        <v>0</v>
      </c>
      <c r="D150" s="168">
        <f>D17+D18+D58</f>
        <v>340</v>
      </c>
      <c r="E150" s="168">
        <f>E17+E18+E58</f>
        <v>0</v>
      </c>
      <c r="F150" s="168">
        <f>F17+F18+F58</f>
        <v>340</v>
      </c>
      <c r="H150" s="292">
        <f t="shared" si="3"/>
        <v>0</v>
      </c>
    </row>
    <row r="151" spans="1:8" ht="15.75">
      <c r="A151" s="155"/>
      <c r="B151" s="9" t="s">
        <v>26</v>
      </c>
      <c r="C151" s="168">
        <f>C19+C42</f>
        <v>264</v>
      </c>
      <c r="D151" s="168">
        <f>D19+D42</f>
        <v>0</v>
      </c>
      <c r="E151" s="168">
        <f>E19+E42</f>
        <v>0</v>
      </c>
      <c r="F151" s="168">
        <f>F19+F42</f>
        <v>264</v>
      </c>
      <c r="H151" s="292">
        <f t="shared" si="3"/>
        <v>0</v>
      </c>
    </row>
    <row r="152" spans="1:8" ht="15.75">
      <c r="A152" s="155"/>
      <c r="B152" s="9" t="s">
        <v>37</v>
      </c>
      <c r="C152" s="168">
        <f>0</f>
        <v>0</v>
      </c>
      <c r="D152" s="168">
        <f>0</f>
        <v>0</v>
      </c>
      <c r="E152" s="168">
        <f>0</f>
        <v>0</v>
      </c>
      <c r="F152" s="168">
        <f>0</f>
        <v>0</v>
      </c>
      <c r="H152" s="292">
        <f t="shared" si="3"/>
        <v>0</v>
      </c>
    </row>
    <row r="153" spans="1:8" ht="15.75">
      <c r="A153" s="155"/>
      <c r="B153" s="9" t="s">
        <v>18</v>
      </c>
      <c r="C153" s="168">
        <f>C20</f>
        <v>143</v>
      </c>
      <c r="D153" s="168">
        <f>D20</f>
        <v>0</v>
      </c>
      <c r="E153" s="168">
        <f>E20</f>
        <v>0</v>
      </c>
      <c r="F153" s="168">
        <f>F20</f>
        <v>143</v>
      </c>
      <c r="H153" s="292">
        <f t="shared" si="3"/>
        <v>0</v>
      </c>
    </row>
    <row r="154" spans="1:8" ht="15.75">
      <c r="A154" s="155"/>
      <c r="B154" s="9" t="s">
        <v>66</v>
      </c>
      <c r="C154" s="168">
        <v>0</v>
      </c>
      <c r="D154" s="168">
        <v>0</v>
      </c>
      <c r="E154" s="168">
        <v>0</v>
      </c>
      <c r="F154" s="168">
        <v>0</v>
      </c>
      <c r="H154" s="292">
        <f t="shared" si="3"/>
        <v>0</v>
      </c>
    </row>
    <row r="155" spans="1:8" ht="15.75">
      <c r="A155" s="155"/>
      <c r="B155" s="9" t="s">
        <v>232</v>
      </c>
      <c r="C155" s="168">
        <f>C21+C22+C23</f>
        <v>1368</v>
      </c>
      <c r="D155" s="168">
        <f>D21+D22+D23</f>
        <v>10</v>
      </c>
      <c r="E155" s="168">
        <f>E21+E22+E23</f>
        <v>0</v>
      </c>
      <c r="F155" s="168">
        <f>F21+F22+F23</f>
        <v>1378</v>
      </c>
      <c r="H155" s="292">
        <f t="shared" si="3"/>
        <v>0</v>
      </c>
    </row>
    <row r="156" spans="1:8" ht="15.75">
      <c r="A156" s="155"/>
      <c r="B156" s="9" t="s">
        <v>354</v>
      </c>
      <c r="C156" s="168">
        <f>C24+C65</f>
        <v>180</v>
      </c>
      <c r="D156" s="168">
        <f>D24+D65</f>
        <v>0</v>
      </c>
      <c r="E156" s="168">
        <f>E24+E65</f>
        <v>0</v>
      </c>
      <c r="F156" s="168">
        <f>F24+F65</f>
        <v>180</v>
      </c>
      <c r="H156" s="292">
        <f t="shared" si="3"/>
        <v>0</v>
      </c>
    </row>
    <row r="157" spans="1:8" ht="15.75">
      <c r="A157" s="155"/>
      <c r="B157" s="9" t="s">
        <v>19</v>
      </c>
      <c r="C157" s="168">
        <f>C25+C126</f>
        <v>126</v>
      </c>
      <c r="D157" s="168">
        <f>D25+D126</f>
        <v>0</v>
      </c>
      <c r="E157" s="168">
        <f>E25+E126</f>
        <v>0</v>
      </c>
      <c r="F157" s="168">
        <f>F25+F126</f>
        <v>126</v>
      </c>
      <c r="H157" s="292">
        <f t="shared" si="3"/>
        <v>0</v>
      </c>
    </row>
    <row r="158" spans="1:8" ht="15.75">
      <c r="A158" s="156"/>
      <c r="B158" s="9" t="s">
        <v>24</v>
      </c>
      <c r="C158" s="168">
        <f>C26+C43</f>
        <v>311</v>
      </c>
      <c r="D158" s="168">
        <f>D26+D43</f>
        <v>30</v>
      </c>
      <c r="E158" s="168">
        <f>E26+E43</f>
        <v>76</v>
      </c>
      <c r="F158" s="168">
        <f>F26+F43</f>
        <v>417</v>
      </c>
      <c r="H158" s="292">
        <f t="shared" si="3"/>
        <v>0</v>
      </c>
    </row>
    <row r="159" spans="1:8" ht="15.75">
      <c r="A159" s="156"/>
      <c r="B159" s="9" t="s">
        <v>20</v>
      </c>
      <c r="C159" s="168">
        <v>0</v>
      </c>
      <c r="D159" s="168">
        <v>0</v>
      </c>
      <c r="E159" s="168">
        <v>0</v>
      </c>
      <c r="F159" s="168">
        <v>0</v>
      </c>
      <c r="H159" s="292">
        <f t="shared" si="3"/>
        <v>0</v>
      </c>
    </row>
    <row r="160" spans="1:8" ht="15.75">
      <c r="A160" s="156"/>
      <c r="B160" s="9" t="s">
        <v>52</v>
      </c>
      <c r="C160" s="168">
        <f aca="true" t="shared" si="4" ref="C160:F161">C27</f>
        <v>50</v>
      </c>
      <c r="D160" s="168">
        <f t="shared" si="4"/>
        <v>0</v>
      </c>
      <c r="E160" s="168">
        <f t="shared" si="4"/>
        <v>0</v>
      </c>
      <c r="F160" s="168">
        <f t="shared" si="4"/>
        <v>50</v>
      </c>
      <c r="H160" s="292">
        <f t="shared" si="3"/>
        <v>0</v>
      </c>
    </row>
    <row r="161" spans="1:8" ht="15.75">
      <c r="A161" s="156"/>
      <c r="B161" s="9" t="s">
        <v>27</v>
      </c>
      <c r="C161" s="168">
        <f t="shared" si="4"/>
        <v>48</v>
      </c>
      <c r="D161" s="168">
        <f t="shared" si="4"/>
        <v>0</v>
      </c>
      <c r="E161" s="168">
        <f t="shared" si="4"/>
        <v>0</v>
      </c>
      <c r="F161" s="168">
        <f t="shared" si="4"/>
        <v>48</v>
      </c>
      <c r="H161" s="292">
        <f t="shared" si="3"/>
        <v>0</v>
      </c>
    </row>
    <row r="162" spans="1:8" ht="15.75">
      <c r="A162" s="156"/>
      <c r="B162" s="9" t="s">
        <v>21</v>
      </c>
      <c r="C162" s="168">
        <f>C29+C55</f>
        <v>434</v>
      </c>
      <c r="D162" s="168">
        <f>D29+D55</f>
        <v>2933</v>
      </c>
      <c r="E162" s="168">
        <f>E29+E55</f>
        <v>130</v>
      </c>
      <c r="F162" s="168">
        <f>F29+F55</f>
        <v>3497</v>
      </c>
      <c r="H162" s="292">
        <f t="shared" si="3"/>
        <v>0</v>
      </c>
    </row>
    <row r="163" spans="1:8" ht="15.75">
      <c r="A163" s="156"/>
      <c r="B163" s="9" t="s">
        <v>67</v>
      </c>
      <c r="C163" s="168">
        <f>C30</f>
        <v>109</v>
      </c>
      <c r="D163" s="168">
        <f>D30</f>
        <v>0</v>
      </c>
      <c r="E163" s="168">
        <f>E30</f>
        <v>0</v>
      </c>
      <c r="F163" s="168">
        <f>F30</f>
        <v>109</v>
      </c>
      <c r="H163" s="292">
        <f t="shared" si="3"/>
        <v>0</v>
      </c>
    </row>
    <row r="164" spans="1:8" ht="15.75">
      <c r="A164" s="156"/>
      <c r="B164" s="9" t="s">
        <v>49</v>
      </c>
      <c r="C164" s="168">
        <f>C31+C64+C63</f>
        <v>140</v>
      </c>
      <c r="D164" s="168">
        <f>D31+D64+D63</f>
        <v>0</v>
      </c>
      <c r="E164" s="168">
        <f>E31+E64+E63</f>
        <v>0</v>
      </c>
      <c r="F164" s="168">
        <f>F31+F64+F63</f>
        <v>140</v>
      </c>
      <c r="H164" s="292">
        <f t="shared" si="3"/>
        <v>0</v>
      </c>
    </row>
    <row r="165" spans="1:8" ht="15.75">
      <c r="A165" s="156"/>
      <c r="B165" s="9" t="s">
        <v>29</v>
      </c>
      <c r="C165" s="168">
        <f>C32+C56+C62</f>
        <v>412</v>
      </c>
      <c r="D165" s="168">
        <f>D32+D56+D62</f>
        <v>170</v>
      </c>
      <c r="E165" s="168">
        <f>E32+E56+E62</f>
        <v>0</v>
      </c>
      <c r="F165" s="168">
        <f>F32+F56+F62</f>
        <v>582</v>
      </c>
      <c r="H165" s="292">
        <f t="shared" si="3"/>
        <v>0</v>
      </c>
    </row>
    <row r="166" spans="1:8" ht="15.75">
      <c r="A166" s="156"/>
      <c r="B166" s="9" t="s">
        <v>68</v>
      </c>
      <c r="C166" s="168">
        <v>0</v>
      </c>
      <c r="D166" s="168">
        <v>0</v>
      </c>
      <c r="E166" s="168">
        <v>0</v>
      </c>
      <c r="F166" s="168">
        <v>0</v>
      </c>
      <c r="H166" s="292">
        <f t="shared" si="3"/>
        <v>0</v>
      </c>
    </row>
    <row r="167" spans="1:8" ht="15.75">
      <c r="A167" s="156"/>
      <c r="B167" s="9" t="s">
        <v>39</v>
      </c>
      <c r="C167" s="168">
        <v>0</v>
      </c>
      <c r="D167" s="168">
        <v>0</v>
      </c>
      <c r="E167" s="168">
        <v>0</v>
      </c>
      <c r="F167" s="168">
        <v>0</v>
      </c>
      <c r="H167" s="292">
        <f t="shared" si="3"/>
        <v>0</v>
      </c>
    </row>
    <row r="168" spans="1:8" ht="15.75">
      <c r="A168" s="156"/>
      <c r="B168" s="9" t="s">
        <v>22</v>
      </c>
      <c r="C168" s="168">
        <f>C57+C44</f>
        <v>25</v>
      </c>
      <c r="D168" s="168">
        <f>D57+D44</f>
        <v>30</v>
      </c>
      <c r="E168" s="168">
        <f>E57+E44</f>
        <v>0</v>
      </c>
      <c r="F168" s="168">
        <f>F57+F44</f>
        <v>55</v>
      </c>
      <c r="H168" s="292">
        <f t="shared" si="3"/>
        <v>0</v>
      </c>
    </row>
    <row r="169" spans="1:8" ht="31.5">
      <c r="A169" s="156"/>
      <c r="B169" s="112" t="s">
        <v>233</v>
      </c>
      <c r="C169" s="202">
        <f>SUM(C141:C168)</f>
        <v>5233</v>
      </c>
      <c r="D169" s="202">
        <f>SUM(D141:D168)</f>
        <v>3593</v>
      </c>
      <c r="E169" s="202">
        <f>SUM(E141:E168)</f>
        <v>206</v>
      </c>
      <c r="F169" s="202">
        <f>SUM(F141:F168)</f>
        <v>9032</v>
      </c>
      <c r="G169" s="289"/>
      <c r="H169" s="289"/>
    </row>
    <row r="170" spans="1:8" ht="15.75">
      <c r="A170" s="156"/>
      <c r="B170" s="156"/>
      <c r="C170" s="410">
        <f>C137-C133</f>
        <v>5233</v>
      </c>
      <c r="D170" s="410">
        <f>D137-D133</f>
        <v>3593</v>
      </c>
      <c r="E170" s="410">
        <f>E137-E133</f>
        <v>206</v>
      </c>
      <c r="F170" s="410">
        <f>F137-F133</f>
        <v>9032</v>
      </c>
      <c r="G170" s="434">
        <f>F137-F133</f>
        <v>9032</v>
      </c>
      <c r="H170" s="434">
        <f>G170-F170</f>
        <v>0</v>
      </c>
    </row>
    <row r="171" spans="1:6" ht="15">
      <c r="A171" s="156"/>
      <c r="B171" s="156"/>
      <c r="C171" s="410">
        <f>C170-C169</f>
        <v>0</v>
      </c>
      <c r="D171" s="410">
        <f>D170-D169</f>
        <v>0</v>
      </c>
      <c r="E171" s="410">
        <f>E170-E169</f>
        <v>0</v>
      </c>
      <c r="F171" s="410">
        <f>F170-F169</f>
        <v>0</v>
      </c>
    </row>
    <row r="172" spans="1:6" ht="15.75">
      <c r="A172" s="156"/>
      <c r="B172" s="156"/>
      <c r="C172" s="156"/>
      <c r="D172" s="156"/>
      <c r="E172" s="156"/>
      <c r="F172" s="200"/>
    </row>
    <row r="173" spans="1:6" ht="15.75">
      <c r="A173" s="156"/>
      <c r="B173" s="156"/>
      <c r="C173" s="156"/>
      <c r="D173" s="156"/>
      <c r="E173" s="156"/>
      <c r="F173" s="200"/>
    </row>
    <row r="174" spans="1:6" ht="15.75">
      <c r="A174" s="156"/>
      <c r="B174" s="156"/>
      <c r="C174" s="156"/>
      <c r="D174" s="156"/>
      <c r="E174" s="156"/>
      <c r="F174" s="200"/>
    </row>
    <row r="175" spans="1:6" ht="15.75">
      <c r="A175" s="156"/>
      <c r="B175" s="156"/>
      <c r="C175" s="156"/>
      <c r="D175" s="156"/>
      <c r="E175" s="156"/>
      <c r="F175" s="200"/>
    </row>
    <row r="176" spans="1:6" ht="15.75">
      <c r="A176" s="156"/>
      <c r="B176" s="156"/>
      <c r="C176" s="156"/>
      <c r="D176" s="156"/>
      <c r="E176" s="156"/>
      <c r="F176" s="200"/>
    </row>
    <row r="177" spans="1:6" ht="15.75">
      <c r="A177" s="156"/>
      <c r="B177" s="156"/>
      <c r="C177" s="156"/>
      <c r="D177" s="156"/>
      <c r="E177" s="156"/>
      <c r="F177" s="200"/>
    </row>
    <row r="178" spans="1:6" ht="15.75">
      <c r="A178" s="156"/>
      <c r="B178" s="156"/>
      <c r="C178" s="156"/>
      <c r="D178" s="156"/>
      <c r="E178" s="156"/>
      <c r="F178" s="200"/>
    </row>
    <row r="179" spans="1:6" ht="15.75">
      <c r="A179" s="156"/>
      <c r="B179" s="156"/>
      <c r="C179" s="156"/>
      <c r="D179" s="156"/>
      <c r="E179" s="156"/>
      <c r="F179" s="200"/>
    </row>
    <row r="180" spans="1:6" ht="15.75">
      <c r="A180" s="156"/>
      <c r="B180" s="156"/>
      <c r="C180" s="156"/>
      <c r="D180" s="156"/>
      <c r="E180" s="156"/>
      <c r="F180" s="200"/>
    </row>
    <row r="181" spans="1:6" ht="15.75">
      <c r="A181" s="156"/>
      <c r="B181" s="156"/>
      <c r="C181" s="156"/>
      <c r="D181" s="156"/>
      <c r="E181" s="156"/>
      <c r="F181" s="200"/>
    </row>
    <row r="182" spans="1:6" ht="15.75">
      <c r="A182" s="156"/>
      <c r="B182" s="156"/>
      <c r="C182" s="156"/>
      <c r="D182" s="156"/>
      <c r="E182" s="156"/>
      <c r="F182" s="200"/>
    </row>
    <row r="183" spans="1:6" ht="15.75">
      <c r="A183" s="156"/>
      <c r="B183" s="156"/>
      <c r="C183" s="156"/>
      <c r="D183" s="156"/>
      <c r="E183" s="156"/>
      <c r="F183" s="200"/>
    </row>
    <row r="184" spans="1:6" ht="15.75">
      <c r="A184" s="156"/>
      <c r="B184" s="156"/>
      <c r="C184" s="156"/>
      <c r="D184" s="156"/>
      <c r="E184" s="156"/>
      <c r="F184" s="200"/>
    </row>
    <row r="185" spans="1:6" ht="15.75">
      <c r="A185" s="156"/>
      <c r="B185" s="156"/>
      <c r="C185" s="156"/>
      <c r="D185" s="156"/>
      <c r="E185" s="156"/>
      <c r="F185" s="200"/>
    </row>
    <row r="186" spans="1:6" ht="15.75">
      <c r="A186" s="156"/>
      <c r="B186" s="156"/>
      <c r="C186" s="156"/>
      <c r="D186" s="156"/>
      <c r="E186" s="156"/>
      <c r="F186" s="200"/>
    </row>
    <row r="187" spans="1:6" ht="15.75">
      <c r="A187" s="156"/>
      <c r="B187" s="156"/>
      <c r="C187" s="156"/>
      <c r="D187" s="156"/>
      <c r="E187" s="156"/>
      <c r="F187" s="200"/>
    </row>
    <row r="188" spans="1:6" ht="15.75">
      <c r="A188" s="156"/>
      <c r="B188" s="156"/>
      <c r="C188" s="156"/>
      <c r="D188" s="156"/>
      <c r="E188" s="156"/>
      <c r="F188" s="200"/>
    </row>
    <row r="189" spans="1:6" ht="15.75">
      <c r="A189" s="156"/>
      <c r="B189" s="156"/>
      <c r="C189" s="156"/>
      <c r="D189" s="156"/>
      <c r="E189" s="156"/>
      <c r="F189" s="200"/>
    </row>
    <row r="190" spans="1:6" ht="15.75">
      <c r="A190" s="156"/>
      <c r="B190" s="156"/>
      <c r="C190" s="156"/>
      <c r="D190" s="156"/>
      <c r="E190" s="156"/>
      <c r="F190" s="200"/>
    </row>
    <row r="191" spans="1:6" ht="15.75">
      <c r="A191" s="156"/>
      <c r="B191" s="156"/>
      <c r="C191" s="156"/>
      <c r="D191" s="156"/>
      <c r="E191" s="156"/>
      <c r="F191" s="200"/>
    </row>
    <row r="192" spans="1:6" ht="15.75">
      <c r="A192" s="156"/>
      <c r="B192" s="156"/>
      <c r="C192" s="156"/>
      <c r="D192" s="156"/>
      <c r="E192" s="156"/>
      <c r="F192" s="200"/>
    </row>
    <row r="193" spans="1:6" ht="15.75">
      <c r="A193" s="156"/>
      <c r="B193" s="156"/>
      <c r="C193" s="156"/>
      <c r="D193" s="156"/>
      <c r="E193" s="156"/>
      <c r="F193" s="200"/>
    </row>
    <row r="194" spans="1:6" ht="15.75">
      <c r="A194" s="156"/>
      <c r="B194" s="156"/>
      <c r="C194" s="156"/>
      <c r="D194" s="156"/>
      <c r="E194" s="156"/>
      <c r="F194" s="200"/>
    </row>
    <row r="195" spans="1:6" ht="15.75">
      <c r="A195" s="156"/>
      <c r="B195" s="156"/>
      <c r="C195" s="156"/>
      <c r="D195" s="156"/>
      <c r="E195" s="156"/>
      <c r="F195" s="200"/>
    </row>
    <row r="196" spans="1:6" ht="15.75">
      <c r="A196" s="156"/>
      <c r="B196" s="156"/>
      <c r="C196" s="156"/>
      <c r="D196" s="156"/>
      <c r="E196" s="156"/>
      <c r="F196" s="200"/>
    </row>
    <row r="197" spans="1:6" ht="15.75">
      <c r="A197" s="156"/>
      <c r="B197" s="156"/>
      <c r="C197" s="156"/>
      <c r="D197" s="156"/>
      <c r="E197" s="156"/>
      <c r="F197" s="200"/>
    </row>
    <row r="198" spans="1:6" ht="15.75">
      <c r="A198" s="156"/>
      <c r="B198" s="156"/>
      <c r="C198" s="156"/>
      <c r="D198" s="156"/>
      <c r="E198" s="156"/>
      <c r="F198" s="200"/>
    </row>
    <row r="199" spans="1:6" ht="15.75">
      <c r="A199" s="156"/>
      <c r="B199" s="156"/>
      <c r="C199" s="156"/>
      <c r="D199" s="156"/>
      <c r="E199" s="156"/>
      <c r="F199" s="200"/>
    </row>
    <row r="200" spans="1:6" ht="15.75">
      <c r="A200" s="156"/>
      <c r="B200" s="156"/>
      <c r="C200" s="156"/>
      <c r="D200" s="156"/>
      <c r="E200" s="156"/>
      <c r="F200" s="200"/>
    </row>
    <row r="201" spans="1:6" ht="15.75">
      <c r="A201" s="156"/>
      <c r="B201" s="156"/>
      <c r="C201" s="156"/>
      <c r="D201" s="156"/>
      <c r="E201" s="156"/>
      <c r="F201" s="200"/>
    </row>
    <row r="202" spans="1:6" ht="15.75">
      <c r="A202" s="156"/>
      <c r="B202" s="156"/>
      <c r="C202" s="156"/>
      <c r="D202" s="156"/>
      <c r="E202" s="156"/>
      <c r="F202" s="200"/>
    </row>
    <row r="203" spans="1:6" ht="15.75">
      <c r="A203" s="156"/>
      <c r="B203" s="156"/>
      <c r="C203" s="156"/>
      <c r="D203" s="156"/>
      <c r="E203" s="156"/>
      <c r="F203" s="200"/>
    </row>
    <row r="204" spans="1:6" ht="15.75">
      <c r="A204" s="156"/>
      <c r="B204" s="156"/>
      <c r="C204" s="156"/>
      <c r="D204" s="156"/>
      <c r="E204" s="156"/>
      <c r="F204" s="200"/>
    </row>
  </sheetData>
  <sheetProtection/>
  <autoFilter ref="A8:Q148"/>
  <mergeCells count="24">
    <mergeCell ref="A3:F3"/>
    <mergeCell ref="A5:F5"/>
    <mergeCell ref="A7:A8"/>
    <mergeCell ref="B7:B8"/>
    <mergeCell ref="F7:F8"/>
    <mergeCell ref="C7:E7"/>
    <mergeCell ref="A132:F132"/>
    <mergeCell ref="A68:F68"/>
    <mergeCell ref="A76:F76"/>
    <mergeCell ref="A125:F125"/>
    <mergeCell ref="A83:F83"/>
    <mergeCell ref="A90:F90"/>
    <mergeCell ref="A110:F110"/>
    <mergeCell ref="A96:F96"/>
    <mergeCell ref="A103:F103"/>
    <mergeCell ref="A119:F119"/>
    <mergeCell ref="A122:F122"/>
    <mergeCell ref="A60:F60"/>
    <mergeCell ref="A9:F9"/>
    <mergeCell ref="A35:F35"/>
    <mergeCell ref="A41:F41"/>
    <mergeCell ref="A46:F46"/>
    <mergeCell ref="A51:F51"/>
    <mergeCell ref="A54:F5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C8" sqref="C8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407"/>
      <c r="C1" s="407" t="s">
        <v>294</v>
      </c>
    </row>
    <row r="3" spans="2:3" ht="63" customHeight="1">
      <c r="B3" s="699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C3" s="699"/>
    </row>
    <row r="4" spans="2:6" ht="15" customHeight="1">
      <c r="B4" s="700" t="s">
        <v>112</v>
      </c>
      <c r="C4" s="700"/>
      <c r="D4" s="4"/>
      <c r="E4" s="4"/>
      <c r="F4" s="5"/>
    </row>
    <row r="5" spans="1:6" ht="15" customHeight="1">
      <c r="A5" s="70"/>
      <c r="B5" s="70"/>
      <c r="C5" s="70"/>
      <c r="D5" s="4"/>
      <c r="E5" s="4"/>
      <c r="F5" s="5"/>
    </row>
    <row r="6" spans="1:6" ht="34.5" customHeight="1">
      <c r="A6" s="117" t="s">
        <v>75</v>
      </c>
      <c r="B6" s="118" t="s">
        <v>113</v>
      </c>
      <c r="C6" s="117" t="s">
        <v>186</v>
      </c>
      <c r="D6" s="5"/>
      <c r="E6" s="5"/>
      <c r="F6" s="5"/>
    </row>
    <row r="7" spans="1:3" ht="15" customHeight="1">
      <c r="A7" s="120">
        <v>1</v>
      </c>
      <c r="B7" s="118">
        <v>2</v>
      </c>
      <c r="C7" s="120">
        <v>3</v>
      </c>
    </row>
    <row r="8" spans="1:3" ht="20.25" customHeight="1">
      <c r="A8" s="505" t="s">
        <v>452</v>
      </c>
      <c r="B8" s="7" t="s">
        <v>226</v>
      </c>
      <c r="C8" s="221">
        <v>10894</v>
      </c>
    </row>
    <row r="9" spans="1:3" ht="21" customHeight="1">
      <c r="A9" s="506" t="s">
        <v>453</v>
      </c>
      <c r="B9" s="370" t="s">
        <v>450</v>
      </c>
      <c r="C9" s="371">
        <v>26000</v>
      </c>
    </row>
    <row r="10" spans="1:3" s="504" customFormat="1" ht="21" customHeight="1">
      <c r="A10" s="507"/>
      <c r="B10" s="502" t="s">
        <v>451</v>
      </c>
      <c r="C10" s="503">
        <v>12</v>
      </c>
    </row>
    <row r="11" spans="1:4" ht="49.5" customHeight="1">
      <c r="A11" s="508" t="s">
        <v>454</v>
      </c>
      <c r="B11" s="272" t="s">
        <v>175</v>
      </c>
      <c r="C11" s="222">
        <v>2111</v>
      </c>
      <c r="D11" s="11"/>
    </row>
    <row r="12" spans="1:6" ht="30.75" customHeight="1">
      <c r="A12" s="509"/>
      <c r="B12" s="90" t="s">
        <v>48</v>
      </c>
      <c r="C12" s="91">
        <f>C11+C9+C8</f>
        <v>39005</v>
      </c>
      <c r="D12" s="12"/>
      <c r="E12" s="71"/>
      <c r="F12" s="71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O29"/>
  <sheetViews>
    <sheetView view="pageBreakPreview" zoomScale="90" zoomScaleSheetLayoutView="90" zoomScalePageLayoutView="0" workbookViewId="0" topLeftCell="A1">
      <pane xSplit="2" ySplit="9" topLeftCell="C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6" sqref="G26"/>
    </sheetView>
  </sheetViews>
  <sheetFormatPr defaultColWidth="9.140625" defaultRowHeight="12.75"/>
  <cols>
    <col min="1" max="1" width="7.421875" style="225" customWidth="1"/>
    <col min="2" max="2" width="49.421875" style="225" customWidth="1"/>
    <col min="3" max="3" width="13.7109375" style="225" customWidth="1"/>
    <col min="4" max="4" width="11.7109375" style="225" customWidth="1"/>
    <col min="5" max="5" width="12.57421875" style="225" customWidth="1"/>
    <col min="6" max="6" width="9.140625" style="225" customWidth="1"/>
    <col min="7" max="7" width="11.421875" style="225" customWidth="1"/>
    <col min="8" max="8" width="13.421875" style="225" customWidth="1"/>
    <col min="9" max="9" width="13.00390625" style="225" customWidth="1"/>
    <col min="10" max="16384" width="9.140625" style="225" customWidth="1"/>
  </cols>
  <sheetData>
    <row r="1" spans="5:10" ht="15.75">
      <c r="E1" s="679"/>
      <c r="F1" s="679"/>
      <c r="I1" s="679" t="s">
        <v>402</v>
      </c>
      <c r="J1" s="679"/>
    </row>
    <row r="3" spans="1:10" ht="45.75" customHeight="1">
      <c r="A3" s="659" t="str">
        <f>'4. СМП'!B3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2023 ГОДУ                                                                                          </v>
      </c>
      <c r="B3" s="659"/>
      <c r="C3" s="659"/>
      <c r="D3" s="659"/>
      <c r="E3" s="659"/>
      <c r="F3" s="659"/>
      <c r="G3" s="659"/>
      <c r="H3" s="659"/>
      <c r="I3" s="659"/>
      <c r="J3" s="659"/>
    </row>
    <row r="4" spans="1:9" ht="19.5" customHeight="1">
      <c r="A4" s="87"/>
      <c r="B4" s="87"/>
      <c r="C4" s="87"/>
      <c r="D4" s="87"/>
      <c r="E4" s="87"/>
      <c r="G4" s="87"/>
      <c r="H4" s="87"/>
      <c r="I4" s="87"/>
    </row>
    <row r="5" spans="1:10" ht="15.75" customHeight="1">
      <c r="A5" s="678" t="s">
        <v>145</v>
      </c>
      <c r="B5" s="678"/>
      <c r="C5" s="678"/>
      <c r="D5" s="678"/>
      <c r="E5" s="678"/>
      <c r="F5" s="678"/>
      <c r="G5" s="678"/>
      <c r="H5" s="678"/>
      <c r="I5" s="678"/>
      <c r="J5" s="678"/>
    </row>
    <row r="7" spans="1:10" ht="29.25" customHeight="1">
      <c r="A7" s="704"/>
      <c r="B7" s="707" t="s">
        <v>106</v>
      </c>
      <c r="C7" s="710" t="s">
        <v>42</v>
      </c>
      <c r="D7" s="710"/>
      <c r="E7" s="710"/>
      <c r="F7" s="710"/>
      <c r="G7" s="710" t="s">
        <v>55</v>
      </c>
      <c r="H7" s="710"/>
      <c r="I7" s="710"/>
      <c r="J7" s="710"/>
    </row>
    <row r="8" spans="1:10" ht="17.25" customHeight="1">
      <c r="A8" s="705"/>
      <c r="B8" s="708"/>
      <c r="C8" s="711" t="s">
        <v>64</v>
      </c>
      <c r="D8" s="701" t="s">
        <v>208</v>
      </c>
      <c r="E8" s="702"/>
      <c r="F8" s="703"/>
      <c r="G8" s="711" t="s">
        <v>64</v>
      </c>
      <c r="H8" s="701" t="s">
        <v>208</v>
      </c>
      <c r="I8" s="702"/>
      <c r="J8" s="703"/>
    </row>
    <row r="9" spans="1:10" ht="21" customHeight="1">
      <c r="A9" s="706"/>
      <c r="B9" s="709"/>
      <c r="C9" s="712"/>
      <c r="D9" s="226" t="s">
        <v>212</v>
      </c>
      <c r="E9" s="226" t="s">
        <v>213</v>
      </c>
      <c r="F9" s="226" t="s">
        <v>214</v>
      </c>
      <c r="G9" s="712"/>
      <c r="H9" s="226" t="s">
        <v>212</v>
      </c>
      <c r="I9" s="226" t="s">
        <v>213</v>
      </c>
      <c r="J9" s="226" t="s">
        <v>214</v>
      </c>
    </row>
    <row r="10" spans="1:10" ht="15.75">
      <c r="A10" s="96">
        <v>1</v>
      </c>
      <c r="B10" s="227">
        <v>2</v>
      </c>
      <c r="C10" s="369">
        <v>4</v>
      </c>
      <c r="D10" s="290"/>
      <c r="E10" s="290">
        <v>5</v>
      </c>
      <c r="F10" s="290">
        <v>6</v>
      </c>
      <c r="G10" s="533">
        <v>4</v>
      </c>
      <c r="H10" s="533"/>
      <c r="I10" s="533">
        <v>5</v>
      </c>
      <c r="J10" s="533">
        <v>6</v>
      </c>
    </row>
    <row r="11" spans="1:15" s="229" customFormat="1" ht="15.75">
      <c r="A11" s="104"/>
      <c r="B11" s="228" t="s">
        <v>127</v>
      </c>
      <c r="C11" s="372">
        <f aca="true" t="shared" si="0" ref="C11:J11">SUM(C12:C23)</f>
        <v>4695</v>
      </c>
      <c r="D11" s="99">
        <f t="shared" si="0"/>
        <v>1995</v>
      </c>
      <c r="E11" s="99">
        <f t="shared" si="0"/>
        <v>1700</v>
      </c>
      <c r="F11" s="99">
        <f t="shared" si="0"/>
        <v>1000</v>
      </c>
      <c r="G11" s="372">
        <f t="shared" si="0"/>
        <v>5</v>
      </c>
      <c r="H11" s="99">
        <f t="shared" si="0"/>
        <v>5</v>
      </c>
      <c r="I11" s="99">
        <f t="shared" si="0"/>
        <v>0</v>
      </c>
      <c r="J11" s="99">
        <f t="shared" si="0"/>
        <v>0</v>
      </c>
      <c r="L11" s="535"/>
      <c r="M11" s="535"/>
      <c r="N11" s="535"/>
      <c r="O11" s="535"/>
    </row>
    <row r="12" spans="1:12" s="229" customFormat="1" ht="16.5" customHeight="1">
      <c r="A12" s="105">
        <v>1</v>
      </c>
      <c r="B12" s="115" t="s">
        <v>128</v>
      </c>
      <c r="C12" s="77">
        <f>SUM(D12:F12)</f>
        <v>0</v>
      </c>
      <c r="D12" s="77"/>
      <c r="E12" s="77"/>
      <c r="F12" s="77"/>
      <c r="G12" s="534">
        <f>SUM(H12:J12)</f>
        <v>2</v>
      </c>
      <c r="H12" s="534">
        <v>2</v>
      </c>
      <c r="I12" s="77"/>
      <c r="J12" s="77"/>
      <c r="L12" s="535"/>
    </row>
    <row r="13" spans="1:14" s="229" customFormat="1" ht="16.5" customHeight="1">
      <c r="A13" s="105">
        <v>2</v>
      </c>
      <c r="B13" s="115" t="s">
        <v>129</v>
      </c>
      <c r="C13" s="77">
        <f>SUM(D13:F13)</f>
        <v>2597</v>
      </c>
      <c r="D13" s="534">
        <f>1050-3</f>
        <v>1047</v>
      </c>
      <c r="E13" s="77">
        <v>1000</v>
      </c>
      <c r="F13" s="77">
        <v>550</v>
      </c>
      <c r="G13" s="77">
        <f>SUM(H13:J13)</f>
        <v>0</v>
      </c>
      <c r="H13" s="77"/>
      <c r="I13" s="77"/>
      <c r="J13" s="77"/>
      <c r="N13" s="535"/>
    </row>
    <row r="14" spans="1:10" ht="16.5" customHeight="1">
      <c r="A14" s="105">
        <v>3</v>
      </c>
      <c r="B14" s="115" t="s">
        <v>130</v>
      </c>
      <c r="C14" s="77">
        <f aca="true" t="shared" si="1" ref="C14:C28">SUM(D14:F14)</f>
        <v>1900</v>
      </c>
      <c r="D14" s="77">
        <v>800</v>
      </c>
      <c r="E14" s="77">
        <v>650</v>
      </c>
      <c r="F14" s="77">
        <v>450</v>
      </c>
      <c r="G14" s="77">
        <f aca="true" t="shared" si="2" ref="G14:G23">SUM(H14:J14)</f>
        <v>0</v>
      </c>
      <c r="H14" s="77"/>
      <c r="I14" s="77"/>
      <c r="J14" s="77"/>
    </row>
    <row r="15" spans="1:14" s="229" customFormat="1" ht="16.5" customHeight="1">
      <c r="A15" s="105">
        <v>4</v>
      </c>
      <c r="B15" s="115" t="s">
        <v>131</v>
      </c>
      <c r="C15" s="77">
        <f t="shared" si="1"/>
        <v>98</v>
      </c>
      <c r="D15" s="534">
        <f>50-2</f>
        <v>48</v>
      </c>
      <c r="E15" s="77">
        <v>50</v>
      </c>
      <c r="F15" s="77">
        <v>0</v>
      </c>
      <c r="G15" s="534">
        <f t="shared" si="2"/>
        <v>2</v>
      </c>
      <c r="H15" s="534">
        <v>2</v>
      </c>
      <c r="I15" s="77"/>
      <c r="J15" s="77"/>
      <c r="L15" s="535"/>
      <c r="N15" s="535"/>
    </row>
    <row r="16" spans="1:12" s="229" customFormat="1" ht="16.5" customHeight="1">
      <c r="A16" s="105">
        <v>5</v>
      </c>
      <c r="B16" s="115" t="s">
        <v>132</v>
      </c>
      <c r="C16" s="77">
        <f t="shared" si="1"/>
        <v>0</v>
      </c>
      <c r="D16" s="77"/>
      <c r="E16" s="77"/>
      <c r="F16" s="77"/>
      <c r="G16" s="534">
        <f t="shared" si="2"/>
        <v>1</v>
      </c>
      <c r="H16" s="534">
        <v>1</v>
      </c>
      <c r="I16" s="77"/>
      <c r="J16" s="77"/>
      <c r="L16" s="535"/>
    </row>
    <row r="17" spans="1:10" s="229" customFormat="1" ht="16.5" customHeight="1">
      <c r="A17" s="105">
        <v>6</v>
      </c>
      <c r="B17" s="115" t="s">
        <v>133</v>
      </c>
      <c r="C17" s="77">
        <f t="shared" si="1"/>
        <v>0</v>
      </c>
      <c r="D17" s="77"/>
      <c r="E17" s="77"/>
      <c r="F17" s="77"/>
      <c r="G17" s="77">
        <f t="shared" si="2"/>
        <v>0</v>
      </c>
      <c r="H17" s="77"/>
      <c r="I17" s="77"/>
      <c r="J17" s="77"/>
    </row>
    <row r="18" spans="1:10" s="229" customFormat="1" ht="16.5" customHeight="1">
      <c r="A18" s="105">
        <v>7</v>
      </c>
      <c r="B18" s="115" t="s">
        <v>134</v>
      </c>
      <c r="C18" s="77">
        <f t="shared" si="1"/>
        <v>0</v>
      </c>
      <c r="D18" s="77"/>
      <c r="E18" s="77"/>
      <c r="F18" s="77"/>
      <c r="G18" s="77">
        <f t="shared" si="2"/>
        <v>0</v>
      </c>
      <c r="H18" s="77"/>
      <c r="I18" s="77"/>
      <c r="J18" s="77"/>
    </row>
    <row r="19" spans="1:10" s="229" customFormat="1" ht="16.5" customHeight="1">
      <c r="A19" s="105">
        <v>8</v>
      </c>
      <c r="B19" s="115" t="s">
        <v>135</v>
      </c>
      <c r="C19" s="77">
        <f t="shared" si="1"/>
        <v>0</v>
      </c>
      <c r="D19" s="77"/>
      <c r="E19" s="77"/>
      <c r="F19" s="77"/>
      <c r="G19" s="77">
        <f t="shared" si="2"/>
        <v>0</v>
      </c>
      <c r="H19" s="77"/>
      <c r="I19" s="77"/>
      <c r="J19" s="77"/>
    </row>
    <row r="20" spans="1:10" s="229" customFormat="1" ht="16.5" customHeight="1">
      <c r="A20" s="105">
        <v>9</v>
      </c>
      <c r="B20" s="115" t="s">
        <v>136</v>
      </c>
      <c r="C20" s="77">
        <f t="shared" si="1"/>
        <v>100</v>
      </c>
      <c r="D20" s="77">
        <v>100</v>
      </c>
      <c r="E20" s="77"/>
      <c r="F20" s="77"/>
      <c r="G20" s="77">
        <f t="shared" si="2"/>
        <v>0</v>
      </c>
      <c r="H20" s="77"/>
      <c r="I20" s="77"/>
      <c r="J20" s="77"/>
    </row>
    <row r="21" spans="1:10" s="229" customFormat="1" ht="16.5" customHeight="1">
      <c r="A21" s="105">
        <v>10</v>
      </c>
      <c r="B21" s="115" t="s">
        <v>137</v>
      </c>
      <c r="C21" s="77">
        <f t="shared" si="1"/>
        <v>0</v>
      </c>
      <c r="D21" s="77">
        <v>0</v>
      </c>
      <c r="E21" s="77"/>
      <c r="F21" s="77"/>
      <c r="G21" s="77">
        <f t="shared" si="2"/>
        <v>0</v>
      </c>
      <c r="H21" s="77"/>
      <c r="I21" s="77"/>
      <c r="J21" s="77"/>
    </row>
    <row r="22" spans="1:10" s="229" customFormat="1" ht="16.5" customHeight="1">
      <c r="A22" s="105">
        <v>11</v>
      </c>
      <c r="B22" s="115" t="s">
        <v>138</v>
      </c>
      <c r="C22" s="77">
        <f t="shared" si="1"/>
        <v>0</v>
      </c>
      <c r="D22" s="77"/>
      <c r="E22" s="77"/>
      <c r="F22" s="77"/>
      <c r="G22" s="77">
        <f t="shared" si="2"/>
        <v>0</v>
      </c>
      <c r="H22" s="77"/>
      <c r="I22" s="77"/>
      <c r="J22" s="77"/>
    </row>
    <row r="23" spans="1:10" s="229" customFormat="1" ht="16.5" customHeight="1">
      <c r="A23" s="105">
        <v>12</v>
      </c>
      <c r="B23" s="115" t="s">
        <v>139</v>
      </c>
      <c r="C23" s="77">
        <f t="shared" si="1"/>
        <v>0</v>
      </c>
      <c r="D23" s="77">
        <v>0</v>
      </c>
      <c r="E23" s="77"/>
      <c r="F23" s="77"/>
      <c r="G23" s="77">
        <f t="shared" si="2"/>
        <v>0</v>
      </c>
      <c r="H23" s="77"/>
      <c r="I23" s="77"/>
      <c r="J23" s="77"/>
    </row>
    <row r="24" spans="1:12" s="229" customFormat="1" ht="15.75">
      <c r="A24" s="104"/>
      <c r="B24" s="228" t="s">
        <v>140</v>
      </c>
      <c r="C24" s="372">
        <f aca="true" t="shared" si="3" ref="C24:J24">SUM(C25:C28)</f>
        <v>1275</v>
      </c>
      <c r="D24" s="372">
        <f t="shared" si="3"/>
        <v>285</v>
      </c>
      <c r="E24" s="372">
        <f t="shared" si="3"/>
        <v>990</v>
      </c>
      <c r="F24" s="372">
        <f t="shared" si="3"/>
        <v>0</v>
      </c>
      <c r="G24" s="372">
        <f t="shared" si="3"/>
        <v>0</v>
      </c>
      <c r="H24" s="372">
        <f t="shared" si="3"/>
        <v>0</v>
      </c>
      <c r="I24" s="372">
        <f t="shared" si="3"/>
        <v>0</v>
      </c>
      <c r="J24" s="372">
        <f t="shared" si="3"/>
        <v>0</v>
      </c>
      <c r="L24" s="535"/>
    </row>
    <row r="25" spans="1:10" s="229" customFormat="1" ht="23.25" customHeight="1">
      <c r="A25" s="105">
        <v>13</v>
      </c>
      <c r="B25" s="106" t="s">
        <v>141</v>
      </c>
      <c r="C25" s="77">
        <f t="shared" si="1"/>
        <v>0</v>
      </c>
      <c r="D25" s="77">
        <v>0</v>
      </c>
      <c r="E25" s="77">
        <v>0</v>
      </c>
      <c r="F25" s="77"/>
      <c r="G25" s="77">
        <f>SUM(H25:J25)</f>
        <v>0</v>
      </c>
      <c r="H25" s="77"/>
      <c r="I25" s="77"/>
      <c r="J25" s="77"/>
    </row>
    <row r="26" spans="1:10" s="229" customFormat="1" ht="15.75">
      <c r="A26" s="105">
        <v>14</v>
      </c>
      <c r="B26" s="106" t="s">
        <v>142</v>
      </c>
      <c r="C26" s="77">
        <f t="shared" si="1"/>
        <v>180</v>
      </c>
      <c r="D26" s="77">
        <v>90</v>
      </c>
      <c r="E26" s="77">
        <v>90</v>
      </c>
      <c r="F26" s="77"/>
      <c r="G26" s="77">
        <f>SUM(H26:J26)</f>
        <v>0</v>
      </c>
      <c r="H26" s="77"/>
      <c r="I26" s="77"/>
      <c r="J26" s="77"/>
    </row>
    <row r="27" spans="1:10" ht="34.5" customHeight="1">
      <c r="A27" s="105">
        <v>15</v>
      </c>
      <c r="B27" s="106" t="s">
        <v>143</v>
      </c>
      <c r="C27" s="77">
        <f t="shared" si="1"/>
        <v>1095</v>
      </c>
      <c r="D27" s="77">
        <v>195</v>
      </c>
      <c r="E27" s="77">
        <v>900</v>
      </c>
      <c r="F27" s="77"/>
      <c r="G27" s="77">
        <f>SUM(H27:J27)</f>
        <v>0</v>
      </c>
      <c r="H27" s="77"/>
      <c r="I27" s="77"/>
      <c r="J27" s="77"/>
    </row>
    <row r="28" spans="1:10" ht="31.5">
      <c r="A28" s="105">
        <v>16</v>
      </c>
      <c r="B28" s="106" t="s">
        <v>144</v>
      </c>
      <c r="C28" s="77">
        <f t="shared" si="1"/>
        <v>0</v>
      </c>
      <c r="D28" s="77"/>
      <c r="E28" s="77"/>
      <c r="F28" s="77"/>
      <c r="G28" s="77">
        <f>SUM(H28:J28)</f>
        <v>0</v>
      </c>
      <c r="H28" s="77"/>
      <c r="I28" s="77"/>
      <c r="J28" s="77"/>
    </row>
    <row r="29" spans="1:10" ht="15.75">
      <c r="A29" s="107"/>
      <c r="B29" s="108" t="s">
        <v>64</v>
      </c>
      <c r="C29" s="95">
        <f aca="true" t="shared" si="4" ref="C29:J29">C24+C11</f>
        <v>5970</v>
      </c>
      <c r="D29" s="372">
        <f t="shared" si="4"/>
        <v>2280</v>
      </c>
      <c r="E29" s="372">
        <f t="shared" si="4"/>
        <v>2690</v>
      </c>
      <c r="F29" s="372">
        <f t="shared" si="4"/>
        <v>1000</v>
      </c>
      <c r="G29" s="95">
        <f t="shared" si="4"/>
        <v>5</v>
      </c>
      <c r="H29" s="372">
        <f t="shared" si="4"/>
        <v>5</v>
      </c>
      <c r="I29" s="372">
        <f t="shared" si="4"/>
        <v>0</v>
      </c>
      <c r="J29" s="372">
        <f t="shared" si="4"/>
        <v>0</v>
      </c>
    </row>
  </sheetData>
  <sheetProtection/>
  <mergeCells count="12">
    <mergeCell ref="E1:F1"/>
    <mergeCell ref="C8:C9"/>
    <mergeCell ref="D8:F8"/>
    <mergeCell ref="A7:A9"/>
    <mergeCell ref="B7:B9"/>
    <mergeCell ref="C7:F7"/>
    <mergeCell ref="I1:J1"/>
    <mergeCell ref="G7:J7"/>
    <mergeCell ref="G8:G9"/>
    <mergeCell ref="H8:J8"/>
    <mergeCell ref="A3:J3"/>
    <mergeCell ref="A5:J5"/>
  </mergeCells>
  <printOptions/>
  <pageMargins left="0.3937007874015748" right="0.1968503937007874" top="0.7874015748031497" bottom="0.3937007874015748" header="0.5118110236220472" footer="0.5118110236220472"/>
  <pageSetup firstPageNumber="1" useFirstPageNumber="1" horizontalDpi="600" verticalDpi="600" orientation="landscape" paperSize="9" scale="90" r:id="rId1"/>
  <headerFooter alignWithMargins="0">
    <oddFooter>&amp;C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30"/>
  <sheetViews>
    <sheetView view="pageBreakPreview" zoomScale="80" zoomScaleSheetLayoutView="80" zoomScalePageLayoutView="0" workbookViewId="0" topLeftCell="A7">
      <selection activeCell="N11" sqref="N11"/>
    </sheetView>
  </sheetViews>
  <sheetFormatPr defaultColWidth="9.140625" defaultRowHeight="12.75"/>
  <cols>
    <col min="1" max="1" width="6.28125" style="391" customWidth="1"/>
    <col min="2" max="2" width="66.00390625" style="391" customWidth="1"/>
    <col min="3" max="3" width="15.28125" style="391" customWidth="1"/>
    <col min="4" max="4" width="18.00390625" style="391" customWidth="1"/>
    <col min="5" max="5" width="15.28125" style="391" customWidth="1"/>
    <col min="6" max="6" width="16.140625" style="391" customWidth="1"/>
    <col min="7" max="7" width="14.00390625" style="391" customWidth="1"/>
    <col min="8" max="8" width="13.28125" style="391" customWidth="1"/>
    <col min="9" max="16384" width="9.140625" style="391" customWidth="1"/>
  </cols>
  <sheetData>
    <row r="1" ht="15.75">
      <c r="E1" s="392" t="s">
        <v>293</v>
      </c>
    </row>
    <row r="3" spans="1:5" ht="76.5" customHeight="1">
      <c r="A3" s="715" t="s">
        <v>355</v>
      </c>
      <c r="B3" s="715"/>
      <c r="C3" s="715"/>
      <c r="D3" s="715"/>
      <c r="E3" s="715"/>
    </row>
    <row r="5" spans="1:5" ht="38.25" customHeight="1">
      <c r="A5" s="716" t="s">
        <v>75</v>
      </c>
      <c r="B5" s="718" t="s">
        <v>235</v>
      </c>
      <c r="C5" s="720" t="s">
        <v>440</v>
      </c>
      <c r="D5" s="722" t="s">
        <v>437</v>
      </c>
      <c r="E5" s="713" t="s">
        <v>441</v>
      </c>
    </row>
    <row r="6" spans="1:5" ht="54" customHeight="1">
      <c r="A6" s="717"/>
      <c r="B6" s="719"/>
      <c r="C6" s="721"/>
      <c r="D6" s="723"/>
      <c r="E6" s="714"/>
    </row>
    <row r="7" spans="1:8" ht="22.5" customHeight="1">
      <c r="A7" s="435">
        <v>1</v>
      </c>
      <c r="B7" s="436" t="s">
        <v>42</v>
      </c>
      <c r="C7" s="501">
        <v>4085402.25</v>
      </c>
      <c r="D7" s="438">
        <f>1639.05-15193.3-4380.33-2466.78</f>
        <v>-20401.36</v>
      </c>
      <c r="E7" s="448">
        <f aca="true" t="shared" si="0" ref="E7:E27">C7+D7</f>
        <v>4065000.89</v>
      </c>
      <c r="H7" s="444"/>
    </row>
    <row r="8" spans="1:8" ht="22.5" customHeight="1">
      <c r="A8" s="439" t="s">
        <v>268</v>
      </c>
      <c r="B8" s="440" t="s">
        <v>55</v>
      </c>
      <c r="C8" s="501">
        <v>954350.83</v>
      </c>
      <c r="D8" s="438">
        <v>2466.78</v>
      </c>
      <c r="E8" s="448">
        <f t="shared" si="0"/>
        <v>956817.61</v>
      </c>
      <c r="H8" s="444"/>
    </row>
    <row r="9" spans="1:8" ht="22.5" customHeight="1">
      <c r="A9" s="439" t="s">
        <v>269</v>
      </c>
      <c r="B9" s="440" t="s">
        <v>332</v>
      </c>
      <c r="C9" s="501">
        <v>54779.79</v>
      </c>
      <c r="D9" s="438"/>
      <c r="E9" s="448">
        <f t="shared" si="0"/>
        <v>54779.79</v>
      </c>
      <c r="H9" s="444"/>
    </row>
    <row r="10" spans="1:8" ht="22.5" customHeight="1">
      <c r="A10" s="439" t="s">
        <v>270</v>
      </c>
      <c r="B10" s="440" t="s">
        <v>41</v>
      </c>
      <c r="C10" s="501">
        <v>505564.51999999996</v>
      </c>
      <c r="D10" s="438">
        <f>713.23+4380.33</f>
        <v>5093.5599999999995</v>
      </c>
      <c r="E10" s="448">
        <f t="shared" si="0"/>
        <v>510658.07999999996</v>
      </c>
      <c r="H10" s="444"/>
    </row>
    <row r="11" spans="1:8" ht="22.5" customHeight="1">
      <c r="A11" s="439" t="s">
        <v>271</v>
      </c>
      <c r="B11" s="440" t="s">
        <v>221</v>
      </c>
      <c r="C11" s="501">
        <v>984513.08</v>
      </c>
      <c r="D11" s="438">
        <v>14480.07</v>
      </c>
      <c r="E11" s="448">
        <f t="shared" si="0"/>
        <v>998993.1499999999</v>
      </c>
      <c r="F11" s="444"/>
      <c r="H11" s="444"/>
    </row>
    <row r="12" spans="1:8" ht="22.5" customHeight="1">
      <c r="A12" s="439" t="s">
        <v>271</v>
      </c>
      <c r="B12" s="440" t="s">
        <v>236</v>
      </c>
      <c r="C12" s="501">
        <v>349497.94</v>
      </c>
      <c r="D12" s="438"/>
      <c r="E12" s="448">
        <f t="shared" si="0"/>
        <v>349497.94</v>
      </c>
      <c r="F12" s="444"/>
      <c r="G12" s="444"/>
      <c r="H12" s="444"/>
    </row>
    <row r="13" spans="1:8" ht="20.25" customHeight="1">
      <c r="A13" s="439" t="s">
        <v>272</v>
      </c>
      <c r="B13" s="436" t="s">
        <v>237</v>
      </c>
      <c r="C13" s="501">
        <v>4833.97</v>
      </c>
      <c r="D13" s="438"/>
      <c r="E13" s="448">
        <f t="shared" si="0"/>
        <v>4833.97</v>
      </c>
      <c r="H13" s="444"/>
    </row>
    <row r="14" spans="1:8" ht="20.25" customHeight="1">
      <c r="A14" s="439" t="s">
        <v>273</v>
      </c>
      <c r="B14" s="441" t="s">
        <v>238</v>
      </c>
      <c r="C14" s="501">
        <v>3955.07</v>
      </c>
      <c r="D14" s="438"/>
      <c r="E14" s="448">
        <f t="shared" si="0"/>
        <v>3955.07</v>
      </c>
      <c r="H14" s="444"/>
    </row>
    <row r="15" spans="1:8" ht="20.25" customHeight="1">
      <c r="A15" s="439" t="s">
        <v>274</v>
      </c>
      <c r="B15" s="440" t="s">
        <v>239</v>
      </c>
      <c r="C15" s="501">
        <v>38026.78</v>
      </c>
      <c r="D15" s="438"/>
      <c r="E15" s="448">
        <f t="shared" si="0"/>
        <v>38026.78</v>
      </c>
      <c r="H15" s="444"/>
    </row>
    <row r="16" spans="1:8" ht="20.25" customHeight="1">
      <c r="A16" s="439" t="s">
        <v>275</v>
      </c>
      <c r="B16" s="440" t="s">
        <v>240</v>
      </c>
      <c r="C16" s="501">
        <v>51999.07</v>
      </c>
      <c r="D16" s="438"/>
      <c r="E16" s="448">
        <f t="shared" si="0"/>
        <v>51999.07</v>
      </c>
      <c r="H16" s="444"/>
    </row>
    <row r="17" spans="1:8" ht="23.25" customHeight="1">
      <c r="A17" s="439" t="s">
        <v>276</v>
      </c>
      <c r="B17" s="440" t="s">
        <v>241</v>
      </c>
      <c r="C17" s="501">
        <v>52255.75</v>
      </c>
      <c r="D17" s="438"/>
      <c r="E17" s="448">
        <f t="shared" si="0"/>
        <v>52255.75</v>
      </c>
      <c r="H17" s="444"/>
    </row>
    <row r="18" spans="1:8" ht="24" customHeight="1">
      <c r="A18" s="439" t="s">
        <v>277</v>
      </c>
      <c r="B18" s="441" t="s">
        <v>242</v>
      </c>
      <c r="C18" s="501">
        <v>8259.22</v>
      </c>
      <c r="D18" s="438"/>
      <c r="E18" s="448">
        <f t="shared" si="0"/>
        <v>8259.22</v>
      </c>
      <c r="H18" s="444"/>
    </row>
    <row r="19" spans="1:8" ht="20.25" customHeight="1">
      <c r="A19" s="439" t="s">
        <v>278</v>
      </c>
      <c r="B19" s="441" t="s">
        <v>243</v>
      </c>
      <c r="C19" s="501">
        <v>5666.29</v>
      </c>
      <c r="D19" s="438"/>
      <c r="E19" s="448">
        <f t="shared" si="0"/>
        <v>5666.29</v>
      </c>
      <c r="H19" s="444"/>
    </row>
    <row r="20" spans="1:8" ht="20.25" customHeight="1">
      <c r="A20" s="439" t="s">
        <v>279</v>
      </c>
      <c r="B20" s="440" t="s">
        <v>107</v>
      </c>
      <c r="C20" s="501">
        <v>2371.63</v>
      </c>
      <c r="D20" s="438">
        <f>E20-C20</f>
        <v>-1639.0500000000002</v>
      </c>
      <c r="E20" s="448">
        <v>732.58</v>
      </c>
      <c r="H20" s="444"/>
    </row>
    <row r="21" spans="1:8" ht="20.25" customHeight="1">
      <c r="A21" s="439" t="s">
        <v>280</v>
      </c>
      <c r="B21" s="440" t="s">
        <v>244</v>
      </c>
      <c r="C21" s="501">
        <v>474.18</v>
      </c>
      <c r="D21" s="438"/>
      <c r="E21" s="448">
        <f t="shared" si="0"/>
        <v>474.18</v>
      </c>
      <c r="H21" s="444"/>
    </row>
    <row r="22" spans="1:8" ht="20.25" customHeight="1">
      <c r="A22" s="439" t="s">
        <v>281</v>
      </c>
      <c r="B22" s="440" t="s">
        <v>56</v>
      </c>
      <c r="C22" s="501">
        <v>1870.93</v>
      </c>
      <c r="D22" s="438"/>
      <c r="E22" s="448">
        <f t="shared" si="0"/>
        <v>1870.93</v>
      </c>
      <c r="H22" s="444"/>
    </row>
    <row r="23" spans="1:8" ht="23.25" customHeight="1">
      <c r="A23" s="439" t="s">
        <v>282</v>
      </c>
      <c r="B23" s="441" t="s">
        <v>438</v>
      </c>
      <c r="C23" s="501">
        <v>468.21000000000004</v>
      </c>
      <c r="D23" s="438"/>
      <c r="E23" s="448">
        <f t="shared" si="0"/>
        <v>468.21000000000004</v>
      </c>
      <c r="H23" s="444"/>
    </row>
    <row r="24" spans="1:8" ht="26.25" customHeight="1">
      <c r="A24" s="439" t="s">
        <v>283</v>
      </c>
      <c r="B24" s="440" t="s">
        <v>331</v>
      </c>
      <c r="C24" s="501">
        <v>1292.23</v>
      </c>
      <c r="D24" s="438"/>
      <c r="E24" s="448">
        <f t="shared" si="0"/>
        <v>1292.23</v>
      </c>
      <c r="H24" s="444"/>
    </row>
    <row r="25" spans="1:8" ht="20.25" customHeight="1">
      <c r="A25" s="439" t="s">
        <v>284</v>
      </c>
      <c r="B25" s="440" t="s">
        <v>286</v>
      </c>
      <c r="C25" s="501">
        <v>14077.53</v>
      </c>
      <c r="D25" s="438"/>
      <c r="E25" s="448">
        <f t="shared" si="0"/>
        <v>14077.53</v>
      </c>
      <c r="H25" s="444"/>
    </row>
    <row r="26" spans="1:8" ht="31.5" customHeight="1">
      <c r="A26" s="439" t="s">
        <v>285</v>
      </c>
      <c r="B26" s="440" t="s">
        <v>447</v>
      </c>
      <c r="C26" s="501">
        <v>997.83</v>
      </c>
      <c r="D26" s="438"/>
      <c r="E26" s="448">
        <f t="shared" si="0"/>
        <v>997.83</v>
      </c>
      <c r="F26" s="444"/>
      <c r="H26" s="444"/>
    </row>
    <row r="27" spans="1:8" ht="20.25" customHeight="1">
      <c r="A27" s="439" t="s">
        <v>287</v>
      </c>
      <c r="B27" s="440" t="s">
        <v>449</v>
      </c>
      <c r="C27" s="501">
        <v>261.8</v>
      </c>
      <c r="D27" s="438"/>
      <c r="E27" s="448">
        <f t="shared" si="0"/>
        <v>261.8</v>
      </c>
      <c r="F27" s="444"/>
      <c r="H27" s="444"/>
    </row>
    <row r="28" spans="1:7" s="451" customFormat="1" ht="21.75" customHeight="1">
      <c r="A28" s="449"/>
      <c r="B28" s="450" t="s">
        <v>350</v>
      </c>
      <c r="C28" s="442">
        <f>SUM(C7:C27)</f>
        <v>7120918.9</v>
      </c>
      <c r="D28" s="438">
        <f>SUM(D7:D27)</f>
        <v>-2.7284841053187847E-12</v>
      </c>
      <c r="E28" s="442">
        <f>SUM(E7:E27)</f>
        <v>7120918.9</v>
      </c>
      <c r="F28" s="454">
        <v>7120918.899999999</v>
      </c>
      <c r="G28" s="456">
        <f>F28-E28</f>
        <v>0</v>
      </c>
    </row>
    <row r="29" spans="1:7" ht="37.5" customHeight="1">
      <c r="A29" s="439" t="s">
        <v>439</v>
      </c>
      <c r="B29" s="440" t="s">
        <v>352</v>
      </c>
      <c r="C29" s="437">
        <v>235329.9</v>
      </c>
      <c r="D29" s="438"/>
      <c r="E29" s="437">
        <f>C29+D29</f>
        <v>235329.9</v>
      </c>
      <c r="F29" s="455">
        <v>235329.9</v>
      </c>
      <c r="G29" s="444">
        <f>F29-C29</f>
        <v>0</v>
      </c>
    </row>
    <row r="30" spans="1:7" ht="26.25" customHeight="1">
      <c r="A30" s="442"/>
      <c r="B30" s="443" t="s">
        <v>351</v>
      </c>
      <c r="C30" s="442">
        <f>C29+C28</f>
        <v>7356248.800000001</v>
      </c>
      <c r="D30" s="438">
        <f>D29+D28</f>
        <v>-2.7284841053187847E-12</v>
      </c>
      <c r="E30" s="442">
        <f>E29+E28</f>
        <v>7356248.800000001</v>
      </c>
      <c r="F30" s="454">
        <v>7356248.8</v>
      </c>
      <c r="G30" s="444">
        <f>F30-E30</f>
        <v>0</v>
      </c>
    </row>
    <row r="31" ht="24" customHeight="1"/>
  </sheetData>
  <sheetProtection/>
  <mergeCells count="6">
    <mergeCell ref="E5:E6"/>
    <mergeCell ref="A3:E3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2023-02-14T03:19:15Z</cp:lastPrinted>
  <dcterms:created xsi:type="dcterms:W3CDTF">1996-10-08T23:32:33Z</dcterms:created>
  <dcterms:modified xsi:type="dcterms:W3CDTF">2023-04-10T00:07:38Z</dcterms:modified>
  <cp:category/>
  <cp:version/>
  <cp:contentType/>
  <cp:contentStatus/>
</cp:coreProperties>
</file>